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G:\Quality\Material Compliance\Conflict Minerals\Winslow CMRT\"/>
    </mc:Choice>
  </mc:AlternateContent>
  <xr:revisionPtr revIDLastSave="0" documentId="8_{2ACF9763-7093-4C64-AF3A-71D48F2FDF9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0" i="5" l="1"/>
  <c r="X80" i="5"/>
  <c r="V80" i="5"/>
  <c r="S80" i="5"/>
  <c r="T80" i="5"/>
  <c r="AB79" i="5"/>
  <c r="X79" i="5"/>
  <c r="V79" i="5"/>
  <c r="S79" i="5"/>
  <c r="T79" i="5"/>
  <c r="AB78" i="5"/>
  <c r="X78" i="5"/>
  <c r="V78" i="5"/>
  <c r="S78" i="5"/>
  <c r="T78" i="5"/>
  <c r="AB77" i="5"/>
  <c r="X77" i="5"/>
  <c r="V77" i="5"/>
  <c r="S77" i="5"/>
  <c r="T77" i="5"/>
  <c r="AB75" i="5"/>
  <c r="X75" i="5"/>
  <c r="V75" i="5"/>
  <c r="S75" i="5"/>
  <c r="T75" i="5"/>
  <c r="AB74" i="5"/>
  <c r="X74" i="5"/>
  <c r="V74" i="5"/>
  <c r="S74" i="5"/>
  <c r="T74" i="5"/>
  <c r="AB73" i="5"/>
  <c r="X73" i="5"/>
  <c r="V73" i="5"/>
  <c r="S73" i="5"/>
  <c r="T73" i="5"/>
  <c r="AB72" i="5"/>
  <c r="X72" i="5"/>
  <c r="V72" i="5"/>
  <c r="S72" i="5"/>
  <c r="T72" i="5"/>
  <c r="AB71" i="5"/>
  <c r="X71" i="5"/>
  <c r="V71" i="5"/>
  <c r="S71" i="5"/>
  <c r="T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S63" i="5"/>
  <c r="T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S46" i="5"/>
  <c r="T46" i="5"/>
  <c r="AB45" i="5"/>
  <c r="X45" i="5"/>
  <c r="V45" i="5"/>
  <c r="S45" i="5"/>
  <c r="T45"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S21" i="5"/>
  <c r="T21" i="5"/>
  <c r="AB20" i="5"/>
  <c r="X20" i="5"/>
  <c r="V20" i="5"/>
  <c r="S20" i="5"/>
  <c r="T20" i="5"/>
  <c r="AB19" i="5"/>
  <c r="X19" i="5"/>
  <c r="V19" i="5"/>
  <c r="S19" i="5"/>
  <c r="T19" i="5"/>
  <c r="AB18" i="5"/>
  <c r="X18" i="5"/>
  <c r="V18" i="5"/>
  <c r="S18" i="5"/>
  <c r="T18" i="5"/>
  <c r="AB17" i="5"/>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T6" i="5"/>
  <c r="S6" i="5"/>
  <c r="AB5" i="5"/>
  <c r="X5" i="5"/>
  <c r="V5" i="5"/>
  <c r="S5" i="5"/>
  <c r="T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I764" i="5"/>
  <c r="I2158"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127" i="5"/>
  <c r="R127" i="5"/>
  <c r="J127" i="5"/>
  <c r="I127" i="5"/>
  <c r="X127" i="5"/>
  <c r="AB895" i="5"/>
  <c r="S895" i="5"/>
  <c r="AB1863" i="5"/>
  <c r="S1863" i="5"/>
  <c r="I90" i="5"/>
  <c r="H123" i="5"/>
  <c r="J123" i="5"/>
  <c r="I123" i="5"/>
  <c r="R189" i="5"/>
  <c r="AB210" i="5"/>
  <c r="R225" i="5"/>
  <c r="F225" i="5"/>
  <c r="X225" i="5"/>
  <c r="F309" i="5"/>
  <c r="F357" i="5"/>
  <c r="R463" i="5"/>
  <c r="F586" i="5"/>
  <c r="I714" i="5"/>
  <c r="J714" i="5"/>
  <c r="S738" i="5"/>
  <c r="R94" i="5"/>
  <c r="H94" i="5"/>
  <c r="AB170" i="5"/>
  <c r="X452" i="5"/>
  <c r="H452" i="5"/>
  <c r="F452" i="5"/>
  <c r="S1497" i="5"/>
  <c r="I126" i="5"/>
  <c r="H126" i="5"/>
  <c r="H147" i="5"/>
  <c r="I147" i="5"/>
  <c r="F147" i="5"/>
  <c r="R237" i="5"/>
  <c r="F237" i="5"/>
  <c r="X237" i="5"/>
  <c r="J262" i="5"/>
  <c r="AB262" i="5"/>
  <c r="AB298" i="5"/>
  <c r="F451" i="5"/>
  <c r="R453" i="5"/>
  <c r="J453" i="5"/>
  <c r="H453" i="5"/>
  <c r="F453" i="5"/>
  <c r="H107" i="5"/>
  <c r="I107" i="5"/>
  <c r="X107" i="5"/>
  <c r="R125" i="5"/>
  <c r="AB1447" i="5"/>
  <c r="S1447" i="5"/>
  <c r="H87" i="5"/>
  <c r="R90" i="5"/>
  <c r="AB114" i="5"/>
  <c r="R123" i="5"/>
  <c r="H167" i="5"/>
  <c r="R167" i="5"/>
  <c r="H187" i="5"/>
  <c r="X187" i="5"/>
  <c r="R187" i="5"/>
  <c r="I187" i="5"/>
  <c r="I275" i="5"/>
  <c r="F275" i="5"/>
  <c r="I361" i="5"/>
  <c r="J361" i="5"/>
  <c r="H361" i="5"/>
  <c r="F361" i="5"/>
  <c r="I479" i="5"/>
  <c r="H479" i="5"/>
  <c r="X479" i="5"/>
  <c r="F574"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X169" i="5"/>
  <c r="H195" i="5"/>
  <c r="F195" i="5"/>
  <c r="X195" i="5"/>
  <c r="R195" i="5"/>
  <c r="I195" i="5"/>
  <c r="J195"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R89" i="5"/>
  <c r="X89" i="5"/>
  <c r="I89" i="5"/>
  <c r="X129" i="5"/>
  <c r="F129" i="5"/>
  <c r="H199" i="5"/>
  <c r="R199" i="5"/>
  <c r="J199" i="5"/>
  <c r="I199" i="5"/>
  <c r="F199" i="5"/>
  <c r="X199" i="5"/>
  <c r="H131" i="5"/>
  <c r="F131" i="5"/>
  <c r="X131" i="5"/>
  <c r="I131" i="5"/>
  <c r="R131" i="5"/>
  <c r="J131"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F113" i="5"/>
  <c r="X113" i="5"/>
  <c r="R113" i="5"/>
  <c r="H155" i="5"/>
  <c r="R155" i="5"/>
  <c r="J155" i="5"/>
  <c r="I155" i="5"/>
  <c r="X155" i="5"/>
  <c r="F155" i="5"/>
  <c r="H203" i="5"/>
  <c r="R203" i="5"/>
  <c r="J203" i="5"/>
  <c r="I203" i="5"/>
  <c r="X203" i="5"/>
  <c r="F203" i="5"/>
  <c r="R249" i="5"/>
  <c r="F24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81" i="5"/>
  <c r="I82"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J81" i="5"/>
  <c r="H81" i="5"/>
  <c r="AB85" i="5"/>
  <c r="J88" i="5"/>
  <c r="H88" i="5"/>
  <c r="F88" i="5"/>
  <c r="J89" i="5"/>
  <c r="H89" i="5"/>
  <c r="AB93" i="5"/>
  <c r="AB97" i="5"/>
  <c r="H118" i="5"/>
  <c r="F122" i="5"/>
  <c r="R122" i="5"/>
  <c r="J122" i="5"/>
  <c r="J125" i="5"/>
  <c r="I125" i="5"/>
  <c r="H125"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329" i="5"/>
  <c r="X98" i="5"/>
  <c r="X241" i="5"/>
  <c r="X301" i="5"/>
  <c r="X198" i="5"/>
  <c r="X134" i="5"/>
  <c r="X234" i="5"/>
  <c r="X174" i="5"/>
  <c r="X353" i="5"/>
  <c r="S343" i="5"/>
  <c r="X158" i="5"/>
  <c r="X331" i="5"/>
  <c r="X246" i="5"/>
  <c r="X114" i="5"/>
  <c r="X333" i="5"/>
  <c r="X82" i="5"/>
  <c r="X451" i="5"/>
  <c r="X335" i="5"/>
  <c r="X282" i="5"/>
  <c r="X206" i="5"/>
  <c r="X162" i="5"/>
  <c r="X325" i="5"/>
  <c r="X138" i="5"/>
  <c r="X142" i="5"/>
  <c r="X126" i="5"/>
  <c r="X217" i="5"/>
  <c r="X278" i="5"/>
  <c r="X182" i="5"/>
  <c r="X218" i="5"/>
  <c r="X86" i="5"/>
  <c r="X202" i="5"/>
  <c r="X369" i="5"/>
  <c r="X315" i="5"/>
  <c r="S315" i="5"/>
  <c r="X96" i="5"/>
  <c r="X327" i="5"/>
  <c r="X118" i="5"/>
  <c r="X311" i="5"/>
  <c r="X253" i="5"/>
  <c r="X317" i="5"/>
  <c r="X373" i="5"/>
  <c r="X357" i="5"/>
  <c r="S357" i="5"/>
  <c r="X90" i="5"/>
  <c r="X130" i="5"/>
  <c r="X383" i="5"/>
  <c r="S383" i="5"/>
  <c r="X313" i="5"/>
  <c r="X92"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471" i="5"/>
  <c r="S298" i="5"/>
  <c r="S82" i="5"/>
  <c r="S142" i="5"/>
  <c r="S515" i="5"/>
  <c r="S289" i="5"/>
  <c r="S181" i="5"/>
  <c r="S90" i="5"/>
  <c r="S313" i="5"/>
  <c r="S242" i="5"/>
  <c r="S307" i="5"/>
  <c r="S337" i="5"/>
  <c r="S101"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<sst xmlns="http://schemas.openxmlformats.org/spreadsheetml/2006/main" count="22981" uniqueCount="15836">
  <si>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</si>
  <si>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</si>
  <si>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</si>
  <si>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</si>
  <si>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</si>
  <si>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</si>
  <si>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</si>
  <si>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</si>
  <si>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</si>
  <si>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</si>
  <si>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</si>
  <si>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</si>
  <si>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</si>
  <si>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</si>
  <si>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</si>
  <si>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</si>
  <si>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</si>
  <si>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</si>
  <si>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</si>
  <si>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</si>
  <si>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</si>
  <si>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</si>
  <si>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</si>
  <si>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</si>
  <si>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</si>
  <si>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</si>
  <si>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</si>
  <si>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</si>
  <si>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</si>
  <si>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</si>
  <si>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</si>
  <si>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</si>
  <si>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</si>
  <si>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</si>
  <si>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</si>
  <si>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</si>
  <si>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</si>
  <si>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</si>
  <si>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</si>
  <si>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</si>
  <si>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</si>
  <si>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</si>
  <si>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</si>
  <si>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</si>
  <si>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</si>
  <si>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</si>
  <si>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</si>
  <si>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</si>
  <si>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</si>
  <si>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</si>
  <si>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</si>
  <si>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</si>
  <si>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</si>
  <si>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</si>
  <si>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</si>
  <si>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</si>
  <si>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</si>
  <si>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</si>
  <si>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</si>
  <si>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</si>
  <si>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</si>
  <si>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</si>
  <si>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</si>
  <si>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</si>
  <si>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</si>
  <si>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</si>
  <si>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</si>
  <si>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</si>
  <si>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</si>
  <si>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</si>
  <si>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</si>
  <si>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</si>
  <si>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</si>
  <si>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</si>
  <si>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</si>
  <si>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</si>
  <si>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</si>
  <si>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</si>
  <si>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</si>
  <si>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</si>
  <si>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</si>
  <si>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</si>
  <si>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</si>
  <si>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</si>
  <si>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</si>
  <si>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</si>
  <si>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</si>
  <si>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</si>
  <si>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</si>
  <si>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</si>
  <si>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</si>
  <si>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</si>
  <si>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</si>
  <si>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</si>
  <si>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</si>
  <si>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</si>
  <si>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</si>
  <si>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</si>
  <si>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</si>
  <si>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</si>
  <si>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</si>
  <si>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</si>
  <si>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</si>
  <si>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</si>
  <si>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</si>
  <si>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</si>
  <si>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</si>
  <si>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</si>
  <si>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</si>
  <si>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</si>
  <si>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</si>
  <si>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</si>
  <si>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</si>
  <si>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</si>
  <si>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</si>
  <si>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</si>
  <si>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</si>
  <si>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</si>
  <si>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</si>
  <si>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</si>
  <si>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</si>
  <si>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</si>
  <si>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</si>
  <si>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</si>
  <si>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</si>
  <si>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</si>
  <si>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</si>
  <si>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</si>
  <si>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</si>
  <si>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</si>
  <si>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</si>
  <si>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</si>
  <si>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</si>
  <si>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</si>
  <si>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</si>
  <si>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</si>
  <si>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</si>
  <si>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</si>
  <si>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</si>
  <si>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</si>
  <si>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</si>
  <si>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</si>
  <si>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</si>
  <si>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</si>
  <si>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</si>
  <si>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</si>
  <si>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</si>
  <si>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</si>
  <si>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</si>
  <si>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</si>
  <si>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</si>
  <si>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</si>
  <si>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</si>
  <si>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</si>
  <si>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</si>
  <si>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</si>
  <si>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</si>
  <si>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</si>
  <si>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</si>
  <si>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</si>
  <si>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</si>
  <si>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</si>
  <si>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</si>
  <si>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</si>
  <si>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</si>
  <si>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</si>
  <si>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</si>
  <si>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</si>
  <si>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</si>
  <si>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</si>
  <si>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</si>
  <si>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</si>
  <si>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</si>
  <si>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</si>
  <si>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</si>
  <si>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</si>
  <si>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</si>
  <si>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</si>
  <si>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</si>
  <si>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</si>
  <si>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</si>
  <si>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</si>
  <si>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</si>
  <si>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</si>
  <si>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</si>
  <si>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</si>
  <si>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</si>
  <si>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</si>
  <si>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</si>
  <si>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</si>
  <si>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</si>
  <si>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</si>
  <si>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</si>
  <si>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</si>
  <si>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</si>
  <si>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</si>
  <si>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</si>
  <si>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</si>
  <si>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</si>
  <si>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</si>
  <si>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</si>
  <si>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</si>
  <si>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</si>
  <si>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</si>
  <si>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</si>
  <si>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</si>
  <si>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</si>
  <si>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</si>
  <si>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</si>
  <si>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</si>
  <si>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</si>
  <si>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</si>
  <si>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</si>
  <si>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</si>
  <si>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</si>
  <si>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</si>
  <si>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</si>
  <si>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</si>
  <si>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</si>
  <si>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</si>
  <si>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</si>
  <si>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</si>
  <si>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</si>
  <si>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</si>
  <si>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</si>
  <si>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</si>
  <si>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</si>
  <si>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</si>
  <si>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</si>
  <si>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</si>
  <si>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</si>
  <si>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</si>
  <si>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</si>
  <si>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</si>
  <si>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</si>
  <si>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</si>
  <si>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</si>
  <si>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</si>
  <si>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</si>
  <si>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</si>
  <si>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</si>
  <si>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</si>
  <si>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</si>
  <si>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</si>
  <si>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</si>
  <si>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</si>
  <si>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</si>
  <si>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</si>
  <si>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</si>
  <si>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</si>
  <si>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</si>
  <si>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</si>
  <si>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</si>
  <si>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</si>
  <si>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</si>
  <si>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</si>
  <si>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</si>
  <si>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</si>
  <si>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</si>
  <si>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</si>
  <si>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</si>
  <si>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</si>
  <si>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</si>
  <si>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</si>
  <si>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</si>
  <si>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</si>
  <si>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</si>
  <si>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</si>
  <si>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</si>
  <si>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</si>
  <si>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</si>
  <si>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</si>
  <si>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</si>
  <si>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</si>
  <si>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</si>
  <si>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</si>
  <si>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</si>
  <si>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</si>
  <si>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</si>
  <si>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</si>
  <si>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</si>
  <si>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</si>
  <si>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</si>
  <si>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</si>
  <si>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</si>
  <si>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</si>
  <si>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</si>
  <si>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</si>
  <si>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</si>
  <si>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</si>
  <si>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</si>
  <si>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</si>
  <si>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</si>
  <si>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</si>
  <si>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</si>
  <si>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</si>
  <si>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</si>
  <si>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</si>
  <si>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</si>
  <si>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</si>
  <si>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</si>
  <si>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</si>
  <si>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</si>
  <si>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</si>
  <si>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</si>
  <si>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</si>
  <si>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</si>
  <si>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</si>
  <si>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</si>
  <si>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</si>
  <si>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</si>
  <si>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</si>
  <si>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</si>
  <si>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</si>
  <si>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</si>
  <si>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</si>
  <si>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</si>
  <si>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</si>
  <si>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</si>
  <si>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</si>
  <si>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</si>
  <si>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</si>
  <si>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</si>
  <si>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</si>
  <si>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</si>
  <si>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</si>
  <si>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</si>
  <si>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</si>
  <si>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</si>
  <si>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</si>
  <si>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</si>
  <si>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</si>
  <si>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</si>
  <si>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</si>
  <si>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</si>
  <si>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</si>
  <si>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</si>
  <si>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</si>
  <si>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</si>
  <si>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</si>
  <si>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</si>
  <si>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</si>
  <si>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</si>
  <si>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</si>
  <si>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</si>
  <si>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</si>
  <si>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</si>
  <si>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</si>
  <si>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</si>
  <si>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</si>
  <si>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</si>
  <si>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</si>
  <si>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</si>
  <si>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</si>
  <si>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</si>
  <si>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</si>
  <si>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</si>
  <si>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</si>
  <si>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</si>
  <si>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</si>
  <si>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</si>
  <si>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</si>
  <si>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</si>
  <si>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</si>
  <si>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</si>
  <si>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</si>
  <si>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</si>
  <si>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</si>
  <si>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</si>
  <si>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</si>
  <si>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</si>
  <si>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</si>
  <si>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</si>
  <si>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</si>
  <si>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</si>
  <si>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</si>
  <si>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</si>
  <si>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</si>
  <si>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</si>
  <si>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</si>
  <si>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</si>
  <si>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</si>
  <si>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</si>
  <si>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</si>
  <si>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</si>
  <si>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</si>
  <si>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</si>
  <si>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</si>
  <si>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</si>
  <si>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</si>
  <si>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</si>
  <si>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</si>
  <si>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</si>
  <si>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</si>
  <si>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</si>
  <si>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</si>
  <si>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</si>
  <si>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</si>
  <si>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</si>
  <si>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</si>
  <si>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</si>
  <si>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</si>
  <si>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</si>
  <si>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</si>
  <si>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</si>
  <si>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</si>
  <si>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</si>
  <si>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</si>
  <si>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</si>
  <si>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</si>
  <si>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</si>
  <si>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</si>
  <si>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</si>
  <si>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</si>
  <si>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</si>
  <si>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</si>
  <si>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</si>
  <si>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</si>
  <si>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</si>
  <si>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</si>
  <si>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</si>
  <si>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</si>
  <si>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</si>
  <si>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</si>
  <si>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</si>
  <si>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</si>
  <si>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</si>
  <si>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</si>
  <si>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</si>
  <si>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</si>
  <si>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</si>
  <si>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</si>
  <si>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</si>
  <si>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</si>
  <si>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</si>
  <si>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</si>
  <si>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</si>
  <si>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</si>
  <si>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</si>
  <si>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</si>
  <si>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</si>
  <si>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</si>
  <si>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</si>
  <si>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</si>
  <si>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</si>
  <si>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</si>
  <si>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</si>
  <si>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</si>
  <si>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</si>
  <si>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</si>
  <si>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</si>
  <si>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</si>
  <si>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</si>
  <si>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</si>
  <si>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</si>
  <si>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</si>
  <si>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</si>
  <si>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</si>
  <si>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</si>
  <si>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</si>
  <si>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</si>
  <si>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</si>
  <si>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</si>
  <si>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</si>
  <si>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</si>
  <si>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</si>
  <si>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</si>
  <si>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</si>
  <si>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</si>
  <si>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</si>
  <si>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</si>
  <si>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</si>
  <si>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</si>
  <si>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</si>
  <si>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</si>
  <si>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</si>
  <si>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</si>
  <si>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</si>
  <si>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</si>
  <si>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</si>
  <si>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</si>
  <si>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</si>
  <si>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</si>
  <si>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</si>
  <si>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</si>
  <si>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</si>
  <si>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</si>
  <si>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</si>
  <si>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</si>
  <si>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</si>
  <si>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</si>
  <si>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</si>
  <si>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</si>
  <si>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</si>
  <si>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</si>
  <si>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</si>
  <si>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</si>
  <si>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</si>
  <si>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</si>
  <si>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</si>
  <si>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</si>
  <si>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</si>
  <si>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</si>
  <si>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</si>
  <si>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</si>
  <si>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</si>
  <si>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</si>
  <si>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</si>
  <si>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</si>
  <si>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</si>
  <si>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</si>
  <si>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</si>
  <si>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</si>
  <si>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</si>
  <si>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</si>
  <si>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</si>
  <si>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</si>
  <si>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</si>
  <si>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</si>
  <si>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</si>
  <si>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</si>
  <si>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</si>
  <si>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</si>
  <si>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</si>
  <si>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</si>
  <si>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</si>
  <si>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</si>
  <si>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</si>
  <si>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</si>
  <si>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</si>
  <si>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</si>
  <si>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</si>
  <si>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</si>
  <si>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</si>
  <si>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</si>
  <si>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</si>
  <si>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</si>
  <si>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</si>
  <si>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</si>
  <si>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</si>
  <si>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</si>
  <si>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</si>
  <si>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</si>
  <si>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</si>
  <si>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</si>
  <si>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</si>
  <si>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</si>
  <si>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</si>
  <si>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</si>
  <si>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</si>
  <si>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</si>
  <si>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</si>
  <si>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</si>
  <si>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</si>
  <si>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</si>
  <si>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</si>
  <si>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</si>
  <si>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</si>
  <si>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</si>
  <si>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</si>
  <si>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</si>
  <si>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</si>
  <si>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</si>
  <si>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</si>
  <si>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</si>
  <si>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</si>
  <si>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</si>
  <si>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</si>
  <si>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</si>
  <si>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</si>
  <si>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</si>
  <si>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</si>
  <si>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</si>
  <si>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</si>
  <si>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</si>
  <si>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</si>
  <si>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</si>
  <si>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</si>
  <si>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</si>
  <si>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</si>
  <si>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</si>
  <si>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</si>
  <si>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</si>
  <si>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</si>
  <si>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</si>
  <si>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</si>
  <si>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</si>
  <si>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</si>
  <si>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</si>
  <si>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</si>
  <si>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</si>
  <si>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</si>
  <si>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</si>
  <si>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</si>
  <si>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</si>
  <si>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</si>
  <si>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</si>
  <si>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</si>
  <si>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</si>
  <si>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</si>
  <si>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</si>
  <si>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</si>
  <si>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</si>
  <si>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</si>
  <si>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</si>
  <si>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</si>
  <si>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</si>
  <si>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</si>
  <si>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</si>
  <si>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</si>
  <si>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</si>
  <si>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</si>
  <si>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</si>
  <si>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</si>
  <si>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</si>
  <si>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</si>
  <si>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</si>
  <si>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</si>
  <si>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</si>
  <si>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</si>
  <si>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</si>
  <si>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</si>
  <si>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</si>
  <si>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</si>
  <si>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</si>
  <si>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</si>
  <si>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</si>
  <si>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</si>
  <si>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</si>
  <si>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</si>
  <si>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</si>
  <si>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</si>
  <si>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</si>
  <si>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</si>
  <si>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</si>
  <si>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</si>
  <si>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</si>
  <si>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</si>
  <si>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</si>
  <si>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</si>
  <si>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</si>
  <si>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</si>
  <si>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</si>
  <si>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</si>
  <si>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</si>
  <si>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</si>
  <si>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</si>
  <si>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</si>
  <si>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</si>
  <si>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</si>
  <si>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</si>
  <si>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</si>
  <si>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</si>
  <si>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</si>
  <si>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</si>
  <si>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</si>
  <si>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</si>
  <si>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</si>
  <si>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</si>
  <si>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</si>
  <si>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</si>
  <si>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</si>
  <si>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</si>
  <si>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</si>
  <si>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</si>
  <si>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</si>
  <si>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</si>
  <si>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</si>
  <si>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</si>
  <si>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</si>
  <si>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</si>
  <si>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</si>
  <si>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</si>
  <si>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</si>
  <si>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</si>
  <si>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</si>
  <si>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</si>
  <si>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</si>
  <si>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</si>
  <si>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</si>
  <si>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</si>
  <si>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</si>
  <si>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</si>
  <si>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</si>
  <si>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</si>
  <si>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</si>
  <si>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</si>
  <si>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</si>
  <si>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</si>
  <si>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</si>
  <si>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</si>
  <si>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</si>
  <si>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</si>
  <si>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</si>
  <si>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</si>
  <si>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</si>
  <si>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</si>
  <si>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</si>
  <si>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</si>
  <si>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</si>
  <si>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</si>
  <si>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</si>
  <si>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</si>
  <si>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</si>
  <si>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</si>
  <si>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</si>
  <si>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</si>
  <si>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</si>
  <si>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</si>
  <si>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</si>
  <si>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</si>
  <si>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</si>
  <si>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</si>
  <si>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</si>
  <si>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</si>
  <si>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</si>
  <si>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</si>
  <si>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</si>
  <si>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</si>
  <si>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</si>
  <si>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</si>
  <si>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</si>
  <si>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</si>
  <si>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</si>
  <si>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</si>
  <si>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</si>
  <si>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</si>
  <si>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</si>
  <si>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</si>
  <si>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</si>
  <si>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</si>
  <si>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</si>
  <si>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</si>
  <si>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</si>
  <si>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</si>
  <si>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</si>
  <si>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</si>
  <si>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</si>
  <si>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</si>
  <si>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</si>
  <si>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</si>
  <si>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</si>
  <si>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</si>
  <si>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</si>
  <si>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</si>
  <si>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</si>
  <si>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</si>
  <si>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</si>
  <si>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</si>
  <si>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</si>
  <si>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</si>
  <si>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</si>
  <si>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</si>
  <si>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</si>
  <si>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</si>
  <si>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</si>
  <si>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</si>
  <si>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</si>
  <si>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</si>
  <si>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</si>
  <si>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</si>
  <si>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</si>
  <si>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</si>
  <si>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</si>
  <si>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</si>
  <si>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</si>
  <si>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</si>
  <si>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</si>
  <si>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</si>
  <si>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</si>
  <si>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</si>
  <si>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</si>
  <si>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</si>
  <si>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</si>
  <si>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</si>
  <si>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</si>
  <si>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</si>
  <si>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</si>
  <si>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</si>
  <si>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</si>
  <si>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</si>
  <si>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</si>
  <si>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</si>
  <si>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</si>
  <si>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</si>
  <si>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</si>
  <si>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</si>
  <si>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</si>
  <si>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</si>
  <si>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</si>
  <si>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</si>
  <si>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</si>
  <si>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</si>
  <si>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</si>
  <si>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</si>
  <si>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</si>
  <si>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</si>
  <si>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</si>
  <si>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</si>
  <si>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</si>
  <si>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</si>
  <si>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</si>
  <si>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</si>
  <si>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</si>
  <si>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</si>
  <si>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</si>
  <si>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</si>
  <si>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</si>
  <si>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</si>
  <si>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</si>
  <si>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</si>
  <si>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</si>
  <si>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</si>
  <si>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</si>
  <si>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</si>
  <si>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</si>
  <si>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</si>
  <si>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</si>
  <si>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</si>
  <si>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</si>
  <si>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</si>
  <si>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</si>
  <si>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</si>
  <si>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</si>
  <si>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</si>
  <si>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</si>
  <si>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</si>
  <si>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</si>
  <si>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</si>
  <si>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</si>
  <si>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</si>
  <si>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</si>
  <si>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</si>
  <si>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</si>
  <si>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</si>
  <si>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</si>
  <si>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</si>
  <si>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</si>
  <si>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</si>
  <si>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</si>
  <si>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</si>
  <si>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</si>
  <si>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</si>
  <si>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</si>
  <si>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</si>
  <si>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</si>
  <si>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</si>
  <si>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</si>
  <si>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</si>
  <si>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</si>
  <si>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</si>
  <si>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</si>
  <si>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</si>
  <si>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</si>
  <si>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</si>
  <si>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</si>
  <si>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</si>
  <si>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</si>
  <si>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</si>
  <si>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</si>
  <si>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</si>
  <si>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</si>
  <si>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</si>
  <si>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</si>
  <si>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</si>
  <si>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</si>
  <si>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</si>
  <si>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</si>
  <si>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</si>
  <si>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</si>
  <si>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</si>
  <si>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</si>
  <si>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</si>
  <si>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</si>
  <si>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</si>
  <si>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</si>
  <si>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</si>
  <si>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</si>
  <si>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</si>
  <si>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</si>
  <si>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</si>
  <si>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</si>
  <si>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</si>
  <si>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</si>
  <si>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</si>
  <si>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</si>
  <si>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</si>
  <si>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</si>
  <si>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</si>
  <si>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</si>
  <si>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</si>
  <si>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</si>
  <si>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</si>
  <si>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</si>
  <si>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</si>
  <si>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</si>
  <si>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</si>
  <si>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</si>
  <si>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</si>
  <si>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</si>
  <si>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</si>
  <si>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</si>
  <si>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</si>
  <si>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</si>
  <si>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</si>
  <si>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</si>
  <si>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</si>
  <si>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</si>
  <si>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</si>
  <si>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</si>
  <si>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</si>
  <si>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</si>
  <si>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</si>
  <si>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</si>
  <si>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</si>
  <si>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</si>
  <si>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</si>
  <si>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</si>
  <si>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</si>
  <si>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</si>
  <si>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</si>
  <si>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</si>
  <si>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</si>
  <si>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</si>
  <si>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</si>
  <si>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</si>
  <si>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</si>
  <si>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</si>
  <si>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</si>
  <si>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</si>
  <si>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</si>
  <si>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</si>
  <si>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</si>
  <si>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</si>
  <si>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</si>
  <si>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</si>
  <si>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</si>
  <si>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</si>
  <si>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</si>
  <si>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</si>
  <si>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</si>
  <si>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</si>
  <si>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</si>
  <si>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</si>
  <si>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</si>
  <si>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</si>
  <si>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</si>
  <si>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</si>
  <si>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</si>
  <si>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</si>
  <si>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</si>
  <si>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</si>
  <si>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</si>
  <si>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</si>
  <si>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</si>
  <si>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</si>
  <si>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</si>
  <si>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</si>
  <si>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</si>
  <si>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</si>
  <si>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</si>
  <si>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</si>
  <si>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</si>
  <si>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</si>
  <si>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</si>
  <si>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</si>
  <si>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</si>
  <si>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</si>
  <si>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</si>
  <si>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</si>
  <si>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</si>
  <si>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</si>
  <si>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</si>
  <si>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</si>
  <si>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</si>
  <si>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</si>
  <si>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</si>
  <si>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</si>
  <si>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</si>
  <si>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</si>
  <si>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</si>
  <si>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</si>
  <si>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</si>
  <si>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</si>
  <si>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</si>
  <si>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</si>
  <si>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</si>
  <si>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</si>
  <si>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</si>
  <si>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</si>
  <si>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</si>
  <si>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</si>
  <si>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</si>
  <si>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</si>
  <si>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</si>
  <si>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</si>
  <si>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</si>
  <si>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</si>
  <si>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</si>
  <si>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</si>
  <si>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</si>
  <si>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</si>
  <si>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</si>
  <si>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</si>
  <si>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</si>
  <si>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</si>
  <si>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</si>
  <si>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</si>
  <si>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</si>
  <si>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</si>
  <si>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</si>
  <si>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</si>
  <si>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</si>
  <si>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</si>
  <si>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</si>
  <si>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</si>
  <si>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</si>
  <si>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</si>
  <si>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</si>
  <si>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</si>
  <si>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</si>
  <si>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</si>
  <si>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</si>
  <si>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</si>
  <si>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</si>
  <si>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</si>
  <si>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</si>
  <si>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</si>
  <si>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</si>
  <si>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</si>
  <si>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</si>
  <si>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</si>
  <si>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</si>
  <si>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</si>
  <si>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</si>
  <si>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</si>
  <si>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</si>
  <si>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</si>
  <si>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</si>
  <si>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</si>
  <si>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</si>
  <si>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</si>
  <si>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</si>
  <si>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</si>
  <si>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</si>
  <si>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</si>
  <si>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</si>
  <si>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</si>
  <si>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</si>
  <si>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</si>
  <si>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</si>
  <si>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</si>
  <si>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</si>
  <si>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</si>
  <si>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</si>
  <si>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</si>
  <si>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</si>
  <si>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</si>
  <si>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</si>
  <si>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</si>
  <si>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</si>
  <si>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</si>
  <si>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</si>
  <si>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</si>
  <si>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</si>
  <si>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</si>
  <si>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</si>
  <si>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</si>
  <si>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</si>
  <si>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</si>
  <si>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</si>
  <si>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</si>
  <si>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</si>
  <si>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</si>
  <si>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</si>
  <si>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</si>
  <si>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</si>
  <si>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</si>
  <si>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</si>
  <si>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</si>
  <si>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</si>
  <si>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</si>
  <si>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</si>
  <si>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</si>
  <si>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</si>
  <si>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</si>
  <si>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</si>
  <si>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</si>
  <si>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</si>
  <si>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</si>
  <si>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</si>
  <si>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</si>
  <si>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</si>
  <si>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</si>
  <si>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</si>
  <si>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</si>
  <si>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</si>
  <si>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</si>
  <si>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</si>
  <si>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</si>
  <si>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</si>
  <si>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</si>
  <si>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</si>
  <si>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</si>
  <si>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</si>
  <si>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</si>
  <si>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</si>
  <si>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</si>
  <si>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</si>
  <si>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</si>
  <si>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</si>
  <si>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</si>
  <si>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</si>
  <si>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</si>
  <si>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</si>
  <si>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</si>
  <si>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</si>
  <si>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</si>
  <si>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</si>
  <si>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</si>
  <si>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</si>
  <si>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</si>
  <si>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</si>
  <si>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</si>
  <si>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</si>
  <si>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</si>
  <si>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</si>
  <si>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</si>
  <si>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</si>
  <si>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</si>
  <si>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</si>
  <si>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</si>
  <si>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</si>
  <si>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</si>
  <si>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</si>
  <si>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</si>
  <si>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</si>
  <si>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</si>
  <si>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</si>
  <si>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</si>
  <si>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</si>
  <si>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</si>
  <si>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</si>
  <si>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</si>
  <si>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</si>
  <si>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</si>
  <si>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</si>
  <si>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</si>
  <si>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</si>
  <si>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</si>
  <si>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</si>
  <si>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</si>
  <si>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</si>
  <si>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</si>
  <si>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</si>
  <si>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</si>
  <si>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</si>
  <si>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</si>
  <si>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</si>
  <si>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</si>
  <si>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</si>
  <si>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</si>
  <si>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</si>
  <si>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</si>
  <si>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</si>
  <si>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</si>
  <si>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</si>
  <si>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</si>
  <si>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</si>
  <si>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</si>
  <si>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</si>
  <si>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</si>
  <si>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</si>
  <si>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</si>
  <si>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</si>
  <si>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</si>
  <si>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</si>
  <si>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</si>
  <si>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</si>
  <si>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</si>
  <si>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</si>
  <si>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</si>
  <si>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</si>
  <si>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</si>
  <si>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</si>
  <si>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</si>
  <si>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</si>
  <si>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</si>
  <si>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</si>
  <si>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</si>
  <si>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</si>
  <si>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</si>
  <si>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</si>
  <si>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</si>
  <si>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</si>
  <si>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</si>
  <si>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</si>
  <si>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</si>
  <si>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</si>
  <si>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</si>
  <si>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</si>
  <si>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</si>
  <si>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</si>
  <si>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</si>
  <si>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</si>
  <si>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</si>
  <si>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</si>
  <si>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</si>
  <si>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</si>
  <si>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</si>
  <si>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</si>
  <si>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</si>
  <si>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</si>
  <si>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</si>
  <si>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</si>
  <si>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</si>
  <si>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</si>
  <si>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</si>
  <si>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</si>
  <si>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</si>
  <si>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</si>
  <si>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</si>
  <si>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</si>
  <si>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</si>
  <si>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</si>
  <si>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</si>
  <si>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</si>
  <si>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</si>
  <si>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</si>
  <si>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</si>
  <si>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</si>
  <si>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</si>
  <si>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</si>
  <si>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</si>
  <si>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</si>
  <si>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</si>
  <si>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</si>
  <si>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</si>
  <si>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</si>
  <si>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</si>
  <si>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</si>
  <si>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</si>
  <si>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</si>
  <si>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</si>
  <si>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</si>
  <si>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</si>
  <si>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</si>
  <si>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</si>
  <si>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</si>
  <si>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</si>
  <si>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</si>
  <si>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</si>
  <si>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</si>
  <si>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</si>
  <si>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</si>
  <si>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</si>
  <si>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</si>
  <si>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</si>
  <si>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</si>
  <si>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</si>
  <si>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</si>
  <si>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</si>
  <si>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</si>
  <si>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</si>
  <si>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</si>
  <si>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</si>
  <si>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</si>
  <si>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</si>
  <si>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</si>
  <si>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</si>
  <si>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</si>
  <si>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</si>
  <si>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</si>
  <si>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</si>
  <si>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</si>
  <si>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</si>
  <si>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</si>
  <si>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</si>
  <si>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</si>
  <si>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</si>
  <si>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</si>
  <si>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</si>
  <si>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</si>
  <si>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</si>
  <si>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</si>
  <si>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</si>
  <si>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</si>
  <si>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</si>
  <si>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</si>
  <si>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</si>
  <si>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</si>
  <si>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</si>
  <si>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</si>
  <si>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</si>
  <si>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</si>
  <si>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</si>
  <si>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</si>
  <si>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</si>
  <si>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</si>
  <si>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</si>
  <si>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</si>
  <si>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</si>
  <si>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</si>
  <si>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</si>
  <si>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</si>
  <si>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</si>
  <si>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</si>
  <si>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</si>
  <si>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</si>
  <si>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</si>
  <si>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</si>
  <si>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</si>
  <si>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</si>
  <si>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</si>
  <si>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</si>
  <si>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</si>
  <si>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</si>
  <si>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</si>
  <si>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</si>
  <si>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</si>
  <si>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</si>
  <si>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</si>
  <si>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</si>
  <si>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</si>
  <si>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</si>
  <si>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</si>
  <si>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</si>
  <si>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</si>
  <si>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</si>
  <si>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</si>
  <si>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</si>
  <si>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</si>
  <si>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</si>
  <si>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</si>
  <si>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</si>
  <si>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</si>
  <si>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</si>
  <si>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</si>
  <si>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</si>
  <si>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</si>
  <si>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</si>
  <si>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</si>
  <si>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</si>
  <si>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</si>
  <si>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</si>
  <si>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</si>
  <si>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</si>
  <si>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</si>
  <si>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</si>
  <si>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</si>
  <si>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</si>
  <si>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</si>
  <si>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</si>
  <si>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</si>
  <si>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</si>
  <si>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</si>
  <si>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</si>
  <si>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</si>
  <si>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</si>
  <si>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</si>
  <si>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</si>
  <si>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</si>
  <si>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</si>
  <si>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</si>
  <si>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</si>
  <si>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</si>
  <si>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</si>
  <si>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</si>
  <si>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</si>
  <si>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</si>
  <si>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</si>
  <si>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</si>
  <si>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</si>
  <si>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</si>
  <si>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</si>
  <si>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</si>
  <si>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</si>
  <si>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</si>
  <si>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</si>
  <si>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</si>
  <si>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</si>
  <si>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</si>
  <si>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</si>
  <si>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</si>
  <si>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</si>
  <si>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</si>
  <si>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</si>
  <si>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</si>
  <si>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</si>
  <si>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</si>
  <si>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</si>
  <si>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</si>
  <si>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</si>
  <si>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</si>
  <si>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</si>
  <si>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</si>
  <si>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</si>
  <si>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</si>
  <si>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</si>
  <si>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</si>
  <si>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</si>
  <si>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</si>
  <si>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</si>
  <si>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</si>
  <si>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</si>
  <si>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</si>
  <si>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</si>
  <si>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</si>
  <si>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</si>
  <si>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</si>
  <si>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</si>
  <si>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</si>
  <si>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</si>
  <si>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</si>
  <si>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</si>
  <si>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</si>
  <si>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</si>
  <si>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</si>
  <si>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</si>
  <si>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</si>
  <si>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</si>
  <si>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</si>
  <si>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</si>
  <si>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</si>
  <si>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</si>
  <si>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</si>
  <si>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</si>
  <si>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</si>
  <si>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</si>
  <si>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</si>
  <si>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</si>
  <si>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</si>
  <si>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</si>
  <si>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</si>
  <si>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</si>
  <si>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</si>
  <si>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</si>
  <si>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</si>
  <si>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</si>
  <si>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</si>
  <si>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</si>
  <si>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</si>
  <si>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</si>
  <si>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</si>
  <si>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</si>
  <si>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</si>
  <si>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</si>
  <si>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</si>
  <si>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</si>
  <si>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</si>
  <si>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</si>
  <si>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</si>
  <si>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</si>
  <si>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</si>
  <si>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</si>
  <si>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</si>
  <si>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</si>
  <si>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</si>
  <si>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</si>
  <si>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</si>
  <si>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</si>
  <si>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</si>
  <si>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</si>
  <si>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</si>
  <si>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</si>
  <si>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</si>
  <si>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</si>
  <si>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</si>
  <si>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</si>
  <si>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</si>
  <si>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</si>
  <si>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</si>
  <si>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</si>
  <si>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</si>
  <si>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</si>
  <si>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</si>
  <si>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</si>
  <si>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</si>
  <si>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</si>
  <si>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</si>
  <si>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</si>
  <si>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</si>
  <si>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</si>
  <si>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</si>
  <si>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</si>
  <si>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</si>
  <si>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</si>
  <si>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</si>
  <si>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</si>
  <si>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</si>
  <si>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</si>
  <si>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</si>
  <si>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</si>
  <si>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</si>
  <si>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</si>
  <si>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</si>
  <si>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</si>
  <si>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</si>
  <si>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</si>
  <si>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</si>
  <si>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</si>
  <si>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</si>
  <si>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</si>
  <si>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</si>
  <si>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</si>
  <si>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</si>
  <si>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</si>
  <si>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</si>
  <si>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</si>
  <si>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</si>
  <si>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</si>
  <si>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</si>
  <si>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</si>
  <si>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</si>
  <si>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</si>
  <si>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</si>
  <si>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</si>
  <si>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</si>
  <si>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</si>
  <si>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</si>
  <si>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</si>
  <si>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</si>
  <si>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</si>
  <si>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</si>
  <si>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</si>
  <si>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</si>
  <si>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</si>
  <si>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</si>
  <si>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</si>
  <si>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</si>
  <si>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</si>
  <si>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</si>
  <si>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</si>
  <si>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</si>
  <si>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</si>
  <si>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</si>
  <si>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</si>
  <si>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</si>
  <si>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</si>
  <si>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</si>
  <si>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</si>
  <si>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</si>
  <si>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</si>
  <si>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</si>
  <si>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</si>
  <si>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</si>
  <si>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</si>
  <si>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</si>
  <si>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</si>
  <si>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</si>
  <si>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</si>
  <si>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</si>
  <si>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</si>
  <si>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</si>
  <si>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</si>
  <si>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</si>
  <si>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</si>
  <si>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</si>
  <si>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</si>
  <si>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</si>
  <si>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</si>
  <si>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</si>
  <si>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</si>
  <si>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</si>
  <si>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</si>
  <si>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</si>
  <si>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</si>
  <si>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</si>
  <si>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</si>
  <si>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</si>
  <si>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</si>
  <si>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</si>
  <si>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</si>
  <si>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</si>
  <si>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</si>
  <si>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</si>
  <si>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</si>
  <si>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</si>
  <si>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</si>
  <si>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</si>
  <si>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</si>
  <si>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</si>
  <si>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</si>
  <si>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</si>
  <si>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</si>
  <si>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</si>
  <si>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</si>
  <si>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</si>
  <si>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</si>
  <si>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</si>
  <si>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</si>
  <si>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</si>
  <si>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</si>
  <si>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</si>
  <si>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</si>
  <si>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</si>
  <si>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</si>
  <si>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</si>
  <si>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</si>
  <si>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</si>
  <si>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</si>
  <si>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</si>
  <si>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</si>
  <si>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</si>
  <si>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</si>
  <si>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</si>
  <si>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</si>
  <si>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</si>
  <si>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</si>
  <si>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</si>
  <si>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</si>
  <si>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</si>
  <si>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</si>
  <si>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</si>
  <si>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</si>
  <si>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</si>
  <si>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</si>
  <si>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</si>
  <si>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</si>
  <si>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</si>
  <si>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</si>
  <si>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</si>
  <si>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</si>
  <si>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</si>
  <si>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</si>
  <si>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</si>
  <si>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</si>
  <si>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</si>
  <si>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</si>
  <si>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</si>
  <si>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</si>
  <si>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</si>
  <si>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</si>
  <si>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</si>
  <si>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</si>
  <si>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</si>
  <si>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</si>
  <si>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</si>
  <si>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</si>
  <si>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</si>
  <si>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</si>
  <si>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</si>
  <si>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</si>
  <si>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</si>
  <si>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</si>
  <si>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</si>
  <si>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</si>
  <si>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</si>
  <si>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</si>
  <si>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</si>
  <si>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</si>
  <si>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</si>
  <si>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</si>
  <si>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</si>
  <si>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</si>
  <si>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</si>
  <si>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</si>
  <si>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</si>
  <si>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</si>
  <si>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</si>
  <si>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</si>
  <si>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</si>
  <si>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</si>
  <si>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</si>
  <si>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</si>
  <si>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</si>
  <si>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</si>
  <si>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</si>
  <si>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</si>
  <si>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</si>
  <si>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</si>
  <si>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</si>
  <si>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</si>
  <si>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</si>
  <si>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</si>
  <si>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</si>
  <si>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</si>
  <si>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</si>
  <si>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</si>
  <si>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</si>
  <si>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</si>
  <si>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</si>
  <si>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</si>
  <si>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</si>
  <si>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</si>
  <si>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</si>
  <si>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</si>
  <si>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</si>
  <si>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</si>
  <si>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</si>
  <si>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</si>
  <si>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</si>
  <si>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</si>
  <si>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</si>
  <si>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</si>
  <si>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</si>
  <si>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</si>
  <si>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</si>
  <si>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</si>
  <si>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</si>
  <si>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</si>
  <si>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</si>
  <si>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</si>
  <si>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</si>
  <si>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</si>
  <si>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</si>
  <si>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</si>
  <si>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</si>
  <si>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</si>
  <si>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</si>
  <si>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</si>
  <si>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</si>
  <si>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</si>
  <si>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</si>
  <si>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</si>
  <si>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</si>
  <si>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</si>
  <si>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</si>
  <si>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</si>
  <si>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</si>
  <si>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</si>
  <si>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</si>
  <si>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</si>
  <si>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</si>
  <si>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</si>
  <si>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</si>
  <si>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</si>
  <si>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</si>
  <si>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</si>
  <si>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</si>
  <si>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</si>
  <si>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</si>
  <si>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</si>
  <si>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</si>
  <si>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</si>
  <si>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</si>
  <si>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</si>
  <si>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</si>
  <si>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</si>
  <si>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</si>
  <si>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</si>
  <si>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</si>
  <si>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</si>
  <si>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</si>
  <si>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</si>
  <si>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</si>
  <si>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</si>
  <si>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</si>
  <si>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</si>
  <si>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</si>
  <si>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</si>
  <si>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</si>
  <si>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</si>
  <si>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</si>
  <si>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</si>
  <si>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</si>
  <si>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</si>
  <si>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</si>
  <si>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</si>
  <si>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</si>
  <si>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</si>
  <si>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</si>
  <si>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</si>
  <si>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</si>
  <si>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</si>
  <si>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</si>
  <si>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</si>
  <si>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</si>
  <si>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</si>
  <si>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</si>
  <si>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</si>
  <si>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</si>
  <si>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</si>
  <si>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</si>
  <si>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</si>
  <si>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</si>
  <si>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</si>
  <si>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</si>
  <si>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</si>
  <si>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</si>
  <si>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</si>
  <si>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</si>
  <si>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</si>
  <si>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</si>
  <si>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</si>
  <si>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</si>
  <si>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</si>
  <si>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</si>
  <si>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</si>
  <si>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</si>
  <si>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</si>
  <si>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</si>
  <si>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</si>
  <si>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</si>
  <si>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</si>
  <si>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</si>
  <si>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</si>
  <si>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</si>
  <si>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</si>
  <si>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</si>
  <si>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</si>
  <si>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</si>
  <si>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</si>
  <si>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</si>
  <si>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</si>
  <si>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</si>
  <si>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</si>
  <si>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</si>
  <si>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</si>
  <si>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</si>
  <si>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</si>
  <si>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</si>
  <si>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</si>
  <si>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</si>
  <si>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</si>
  <si>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</si>
  <si>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</si>
  <si>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</si>
  <si>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</si>
  <si>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</si>
  <si>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</si>
  <si>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</si>
  <si>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</si>
  <si>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</si>
  <si>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</si>
  <si>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</si>
  <si>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</si>
  <si>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</si>
  <si>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</si>
  <si>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</si>
  <si>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</si>
  <si>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</si>
  <si>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</si>
  <si>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</si>
  <si>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</si>
  <si>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</si>
  <si>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</si>
  <si>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</si>
  <si>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</si>
  <si>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</si>
  <si>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</si>
  <si>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</si>
  <si>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</si>
  <si>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</si>
  <si>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</si>
  <si>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</si>
  <si>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</si>
  <si>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</si>
  <si>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</si>
  <si>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</si>
  <si>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</si>
  <si>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</si>
  <si>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</si>
  <si>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</si>
  <si>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</si>
  <si>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</si>
  <si>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</si>
  <si>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</si>
  <si>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</si>
  <si>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</si>
  <si>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</si>
  <si>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</si>
  <si>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</si>
  <si>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</si>
  <si>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</si>
  <si>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</si>
  <si>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</si>
  <si>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</si>
  <si>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</si>
  <si>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</si>
  <si>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</si>
  <si>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</si>
  <si>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</si>
  <si>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</si>
  <si>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</si>
  <si>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</si>
  <si>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</si>
  <si>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</si>
  <si>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</si>
  <si>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</si>
  <si>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</si>
  <si>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</si>
  <si>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</si>
  <si>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</si>
  <si>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</si>
  <si>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</si>
  <si>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</si>
  <si>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</si>
  <si>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</si>
  <si>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</si>
  <si>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</si>
  <si>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</si>
  <si>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</si>
  <si>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</si>
  <si>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</si>
  <si>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</si>
  <si>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</si>
  <si>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</si>
  <si>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</si>
  <si>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</si>
  <si>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</si>
  <si>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</si>
  <si>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</si>
  <si>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</si>
  <si>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</si>
  <si>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</si>
  <si>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</si>
  <si>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</si>
  <si>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</si>
  <si>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</si>
  <si>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</si>
  <si>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</si>
  <si>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</si>
  <si>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</si>
  <si>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</si>
  <si>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</si>
  <si>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</si>
  <si>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</si>
  <si>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</si>
  <si>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</si>
  <si>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</si>
  <si>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</si>
  <si>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</si>
  <si>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</si>
  <si>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</si>
  <si>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</si>
  <si>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</si>
  <si>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</si>
  <si>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</si>
  <si>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</si>
  <si>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</si>
  <si>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</si>
  <si>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</si>
  <si>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</si>
  <si>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</si>
  <si>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</si>
  <si>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</si>
  <si>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</si>
  <si>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</si>
  <si>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</si>
  <si>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</si>
  <si>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</si>
  <si>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</si>
  <si>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</si>
  <si>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</si>
  <si>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</si>
  <si>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</si>
  <si>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</si>
  <si>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</si>
  <si>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</si>
  <si>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</si>
  <si>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</si>
  <si>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</si>
  <si>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</si>
  <si>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</si>
  <si>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</si>
  <si>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</si>
  <si>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</si>
  <si>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</si>
  <si>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</si>
  <si>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</si>
  <si>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</si>
  <si>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</si>
  <si>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</si>
  <si>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</si>
  <si>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</si>
  <si>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</si>
  <si>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</si>
  <si>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</si>
  <si>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</si>
  <si>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</si>
  <si>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</si>
  <si>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</si>
  <si>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</si>
  <si>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</si>
  <si>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</si>
  <si>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</si>
  <si>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</si>
  <si>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</si>
  <si>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</si>
  <si>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</si>
  <si>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</si>
  <si>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</si>
  <si>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</si>
  <si>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</si>
  <si>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</si>
  <si>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</si>
  <si>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</si>
  <si>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</si>
  <si>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</si>
  <si>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</si>
  <si>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</si>
  <si>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</si>
  <si>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</si>
  <si>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</si>
  <si>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</si>
  <si>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</si>
  <si>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</si>
  <si>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</si>
  <si>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</si>
  <si>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</si>
  <si>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</si>
  <si>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</si>
  <si>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</si>
  <si>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</si>
  <si>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</si>
  <si>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</si>
  <si>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</si>
  <si>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</si>
  <si>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</si>
  <si>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</si>
  <si>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</si>
  <si>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</si>
  <si>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</si>
  <si>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</si>
  <si>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</si>
  <si>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</si>
  <si>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</si>
  <si>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</si>
  <si>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</si>
  <si>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</si>
  <si>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</si>
  <si>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</si>
  <si>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</si>
  <si>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</si>
  <si>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</si>
  <si>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</si>
  <si>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</si>
  <si>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</si>
  <si>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</si>
  <si>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</si>
  <si>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</si>
  <si>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</si>
  <si>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</si>
  <si>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</si>
  <si>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</si>
  <si>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</si>
  <si>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</si>
  <si>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</si>
  <si>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</si>
  <si>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</si>
  <si>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</si>
  <si>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</si>
  <si>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</si>
  <si>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</si>
  <si>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</si>
  <si>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</si>
  <si>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</si>
  <si>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</si>
  <si>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</si>
  <si>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</si>
  <si>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</si>
  <si>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</si>
  <si>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</si>
  <si>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</si>
  <si>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</si>
  <si>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</si>
  <si>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</si>
  <si>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</si>
  <si>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</si>
  <si>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</si>
  <si>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</si>
  <si>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</si>
  <si>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</si>
  <si>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</si>
  <si>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</si>
  <si>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</si>
  <si>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</si>
  <si>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</si>
  <si>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</si>
  <si>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</si>
  <si>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</si>
  <si>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</si>
  <si>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</si>
  <si>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</si>
  <si>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</si>
  <si>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</si>
  <si>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</si>
  <si>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</si>
  <si>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</si>
  <si>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</si>
  <si>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</si>
  <si>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</si>
  <si>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</si>
  <si>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</si>
  <si>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</si>
  <si>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</si>
  <si>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</si>
  <si>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</si>
  <si>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</si>
  <si>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</si>
  <si>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</si>
  <si>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</si>
  <si>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</si>
  <si>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</si>
  <si>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</si>
  <si>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</si>
  <si>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</si>
  <si>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</si>
  <si>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</si>
  <si>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</si>
  <si>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</si>
  <si>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</si>
  <si>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</si>
  <si>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</si>
  <si>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</si>
  <si>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</si>
  <si>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</si>
  <si>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</si>
  <si>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</si>
  <si>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</si>
  <si>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</si>
  <si>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</si>
  <si>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</si>
  <si>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</si>
  <si>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</si>
  <si>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</si>
  <si>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</si>
  <si>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</si>
  <si>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</si>
  <si>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</si>
  <si>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</si>
  <si>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</si>
  <si>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</si>
  <si>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</si>
  <si>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</si>
  <si>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</si>
  <si>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</si>
  <si>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</si>
  <si>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</si>
  <si>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</si>
  <si>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</si>
  <si>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</si>
  <si>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</si>
  <si>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</si>
  <si>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</si>
  <si>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</si>
  <si>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</si>
  <si>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</si>
  <si>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</si>
  <si>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</si>
  <si>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</si>
  <si>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</si>
  <si>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</si>
  <si>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</si>
  <si>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</si>
  <si>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</si>
  <si>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</si>
  <si>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</si>
  <si>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</si>
  <si>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</si>
  <si>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</si>
  <si>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</si>
  <si>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</si>
  <si>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</si>
  <si>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</si>
  <si>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</si>
  <si>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</si>
  <si>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</si>
  <si>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</si>
  <si>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</si>
  <si>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</si>
  <si>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</si>
  <si>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</si>
  <si>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</si>
  <si>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</si>
  <si>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</si>
  <si>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</si>
  <si>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</si>
  <si>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</si>
  <si>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</si>
  <si>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</si>
  <si>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</si>
  <si>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</si>
  <si>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</si>
  <si>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</si>
  <si>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</si>
  <si>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</si>
  <si>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</si>
  <si>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</si>
  <si>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</si>
  <si>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</si>
  <si>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</si>
  <si>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</si>
  <si>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</si>
  <si>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</si>
  <si>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</si>
  <si>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</si>
  <si>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</si>
  <si>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</si>
  <si>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</si>
  <si>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</si>
  <si>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</si>
  <si>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</si>
  <si>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</si>
  <si>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</si>
  <si>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</si>
  <si>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</si>
  <si>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</si>
  <si>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</si>
  <si>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</si>
  <si>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</si>
  <si>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</si>
  <si>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</si>
  <si>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</si>
  <si>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</si>
  <si>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</si>
  <si>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</si>
  <si>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</si>
  <si>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</si>
  <si>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</si>
  <si>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</si>
  <si>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</si>
  <si>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</si>
  <si>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</si>
  <si>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</si>
  <si>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</si>
  <si>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</si>
  <si>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</si>
  <si>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</si>
  <si>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</si>
  <si>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</si>
  <si>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</si>
  <si>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</si>
  <si>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</si>
  <si>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</si>
  <si>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</si>
  <si>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</si>
  <si>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</si>
  <si>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</si>
  <si>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</si>
  <si>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</si>
  <si>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</si>
  <si>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</si>
  <si>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</si>
  <si>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</si>
  <si>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</si>
  <si>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</si>
  <si>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</si>
  <si>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</si>
  <si>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</si>
  <si>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</si>
  <si>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</si>
  <si>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</si>
  <si>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</si>
  <si>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</si>
  <si>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</si>
  <si>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</si>
  <si>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</si>
  <si>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</si>
  <si>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</si>
  <si>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</si>
  <si>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</si>
  <si>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</si>
  <si>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</si>
  <si>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</si>
  <si>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</si>
  <si>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</si>
  <si>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</si>
  <si>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</si>
  <si>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</si>
  <si>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</si>
  <si>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</si>
  <si>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</si>
  <si>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</si>
  <si>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</si>
  <si>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</si>
  <si>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</si>
  <si>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</si>
  <si>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</si>
  <si>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</si>
  <si>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</si>
  <si>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</si>
  <si>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</si>
  <si>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</si>
  <si>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</si>
  <si>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</si>
  <si>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</si>
  <si>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</si>
  <si>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</si>
  <si>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</si>
  <si>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</si>
  <si>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</si>
  <si>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</si>
  <si>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</si>
  <si>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</si>
  <si>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</si>
  <si>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</si>
  <si>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</si>
  <si>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</si>
  <si>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</si>
  <si>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</si>
  <si>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</si>
  <si>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</si>
  <si>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</si>
  <si>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</si>
  <si>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</si>
  <si>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</si>
  <si>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</si>
  <si>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</si>
  <si>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</si>
  <si>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</si>
  <si>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</si>
  <si>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</si>
  <si>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</si>
  <si>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</si>
  <si>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</si>
  <si>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</si>
  <si>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</si>
  <si>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</si>
  <si>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</si>
  <si>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</si>
  <si>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</si>
  <si>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</si>
  <si>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</si>
  <si>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</si>
  <si>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</si>
  <si>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</si>
  <si>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</si>
  <si>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</si>
  <si>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</si>
  <si>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</si>
  <si>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</si>
  <si>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</si>
  <si>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</si>
  <si>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</si>
  <si>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</si>
  <si>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</si>
  <si>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</si>
  <si>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</si>
  <si>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</si>
  <si>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</si>
  <si>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</si>
  <si>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</si>
  <si>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</si>
  <si>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</si>
  <si>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</si>
  <si>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</si>
  <si>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</si>
  <si>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</si>
  <si>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</si>
  <si>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</si>
  <si>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</si>
  <si>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</si>
  <si>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</si>
  <si>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</si>
  <si>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</si>
  <si>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</si>
  <si>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</si>
  <si>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</si>
  <si>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</si>
  <si>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</si>
  <si>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</si>
  <si>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</si>
  <si>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</si>
  <si>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</si>
  <si>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</si>
  <si>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</si>
  <si>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</si>
  <si>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</si>
  <si>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</si>
  <si>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</si>
  <si>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</si>
  <si>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</si>
  <si>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</si>
  <si>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</si>
  <si>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</si>
  <si>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</si>
  <si>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</si>
  <si>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</si>
  <si>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</si>
  <si>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</si>
  <si>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</si>
  <si>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</si>
  <si>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</si>
  <si>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</si>
  <si>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</si>
  <si>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</si>
  <si>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</si>
  <si>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</si>
  <si>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</si>
  <si>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</si>
  <si>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</si>
  <si>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</si>
  <si>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</si>
  <si>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</si>
  <si>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</si>
  <si>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</si>
  <si>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</si>
  <si>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</si>
  <si>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</si>
  <si>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</si>
  <si>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</si>
  <si>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</si>
  <si>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</si>
  <si>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</si>
  <si>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</si>
  <si>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</si>
  <si>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</si>
  <si>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</si>
  <si>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</si>
  <si>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</si>
  <si>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</si>
  <si>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</si>
  <si>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</si>
  <si>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</si>
  <si>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</si>
  <si>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</si>
  <si>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</si>
  <si>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</si>
  <si>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</si>
  <si>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</si>
  <si>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</si>
  <si>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</si>
  <si>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</si>
  <si>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</si>
  <si>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</si>
  <si>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</si>
  <si>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</si>
  <si>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</si>
  <si>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</si>
  <si>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</si>
  <si>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</si>
  <si>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</si>
  <si>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</si>
  <si>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</si>
  <si>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</si>
  <si>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</si>
  <si>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</si>
  <si>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</si>
  <si>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</si>
  <si>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</si>
  <si>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</si>
  <si>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</si>
  <si>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</si>
  <si>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</si>
  <si>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</si>
  <si>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</si>
  <si>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</si>
  <si>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</si>
  <si>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</si>
  <si>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</si>
  <si>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</si>
  <si>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</si>
  <si>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</si>
  <si>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</si>
  <si>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</si>
  <si>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</si>
  <si>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</si>
  <si>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</si>
  <si>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</si>
  <si>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</si>
  <si>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</si>
  <si>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</si>
  <si>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</si>
  <si>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</si>
  <si>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</si>
  <si>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</si>
  <si>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</si>
  <si>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</si>
  <si>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</si>
  <si>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</si>
  <si>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</si>
  <si>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</si>
  <si>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</si>
  <si>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</si>
  <si>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</si>
  <si>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</si>
  <si>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</si>
  <si>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</si>
  <si>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</si>
  <si>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</si>
  <si>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</si>
  <si>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</si>
  <si>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</si>
  <si>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</si>
  <si>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</si>
  <si>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</si>
  <si>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</si>
  <si>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</si>
  <si>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</si>
  <si>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</si>
  <si>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</si>
  <si>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</si>
  <si>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</si>
  <si>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</si>
  <si>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</si>
  <si>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</si>
  <si>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</si>
  <si>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</si>
  <si>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</si>
  <si>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</si>
  <si>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</si>
  <si>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</si>
  <si>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</si>
  <si>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</si>
  <si>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</si>
  <si>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</si>
  <si>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</si>
  <si>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</si>
  <si>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</si>
  <si>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</si>
  <si>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</si>
  <si>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</si>
  <si>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</si>
  <si>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</si>
  <si>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</si>
  <si>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</si>
  <si>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</si>
  <si>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</si>
  <si>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</si>
  <si>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</si>
  <si>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</si>
  <si>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</si>
  <si>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</si>
  <si>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</si>
  <si>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</si>
  <si>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</si>
  <si>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</si>
  <si>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</si>
  <si>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</si>
  <si>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</si>
  <si>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</si>
  <si>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</si>
  <si>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</si>
  <si>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</si>
  <si>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</si>
  <si>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</si>
  <si>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</si>
  <si>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</si>
  <si>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</si>
  <si>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</si>
  <si>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</si>
  <si>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</si>
  <si>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</si>
  <si>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</si>
  <si>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</si>
  <si>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</si>
  <si>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</si>
  <si>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</si>
  <si>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</si>
  <si>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</si>
  <si>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</si>
  <si>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</si>
  <si>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</si>
  <si>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</si>
  <si>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</si>
  <si>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</si>
  <si>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</si>
  <si>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</si>
  <si>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</si>
  <si>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</si>
  <si>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</si>
  <si>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</si>
  <si>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</si>
  <si>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</si>
  <si>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</si>
  <si>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</si>
  <si>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</si>
  <si>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</si>
  <si>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</si>
  <si>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</si>
  <si>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</si>
  <si>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</si>
  <si>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</si>
  <si>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</si>
  <si>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</si>
  <si>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</si>
  <si>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</si>
  <si>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</si>
  <si>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</si>
  <si>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</si>
  <si>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</si>
  <si>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</si>
  <si>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</si>
  <si>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</si>
  <si>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</si>
  <si>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</si>
  <si>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</si>
  <si>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</si>
  <si>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</si>
  <si>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</si>
  <si>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</si>
  <si>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</si>
  <si>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</si>
  <si>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</si>
  <si>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</si>
  <si>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</si>
  <si>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</si>
  <si>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</si>
  <si>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</si>
  <si>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</si>
  <si>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</si>
  <si>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</si>
  <si>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</si>
  <si>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</si>
  <si>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</si>
  <si>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</si>
  <si>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</si>
  <si>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</si>
  <si>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</si>
  <si>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</si>
  <si>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</si>
  <si>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</si>
  <si>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</si>
  <si>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</si>
  <si>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</si>
  <si>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</si>
  <si>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</si>
  <si>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</si>
  <si>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</si>
  <si>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</si>
  <si>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</si>
  <si>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</si>
  <si>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</si>
  <si>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</si>
  <si>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</si>
  <si>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</si>
  <si>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</si>
  <si>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</si>
  <si>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</si>
  <si>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</si>
  <si>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</si>
  <si>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</si>
  <si>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</si>
  <si>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</si>
  <si>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</si>
  <si>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</si>
  <si>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</si>
  <si>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</si>
  <si>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</si>
  <si>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</si>
  <si>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</si>
  <si>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</si>
  <si>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</si>
  <si>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</si>
  <si>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</si>
  <si>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</si>
  <si>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</si>
  <si>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</si>
  <si>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</si>
  <si>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</si>
  <si>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</si>
  <si>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</si>
  <si>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</si>
  <si>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</si>
  <si>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</si>
  <si>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</si>
  <si>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</si>
  <si>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</si>
  <si>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</si>
  <si>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</si>
  <si>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</si>
  <si>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</si>
  <si>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</si>
  <si>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</si>
  <si>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</si>
  <si>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</si>
  <si>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</si>
  <si>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</si>
  <si>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</si>
  <si>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</si>
  <si>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</si>
  <si>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</si>
  <si>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</si>
  <si>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</si>
  <si>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</si>
  <si>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</si>
  <si>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</si>
  <si>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</si>
  <si>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</si>
  <si>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</si>
  <si>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</si>
  <si>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</si>
  <si>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</si>
  <si>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</si>
  <si>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</si>
  <si>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</si>
  <si>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</si>
  <si>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</si>
  <si>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</si>
  <si>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</si>
  <si>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</si>
  <si>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</si>
  <si>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</si>
  <si>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</si>
  <si>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</si>
  <si>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</si>
  <si>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</si>
  <si>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</si>
  <si>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</si>
  <si>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</si>
  <si>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</si>
  <si>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</si>
  <si>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</si>
  <si>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</si>
  <si>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</si>
  <si>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</si>
  <si>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</si>
  <si>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</si>
  <si>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</si>
  <si>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</si>
  <si>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</si>
  <si>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</si>
  <si>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</si>
  <si>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</si>
  <si>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</si>
  <si>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</si>
  <si>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</si>
  <si>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</si>
  <si>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</si>
  <si>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</si>
  <si>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</si>
  <si>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</si>
  <si>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</si>
  <si>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</si>
  <si>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</si>
  <si>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</si>
  <si>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</si>
  <si>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</si>
  <si>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</si>
  <si>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</si>
  <si>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</si>
  <si>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</si>
  <si>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</si>
  <si>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</si>
  <si>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</si>
  <si>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</si>
  <si>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</si>
  <si>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</si>
  <si>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</si>
  <si>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</si>
  <si>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</si>
  <si>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</si>
  <si>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</si>
  <si>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</si>
  <si>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</si>
  <si>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</si>
  <si>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</si>
  <si>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</si>
  <si>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</si>
  <si>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</si>
  <si>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</si>
  <si>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</si>
  <si>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</si>
  <si>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</si>
  <si>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</si>
  <si>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</si>
  <si>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</si>
  <si>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</si>
  <si>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</si>
  <si>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</si>
  <si>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</si>
  <si>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</si>
  <si>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</si>
  <si>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</si>
  <si>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</si>
  <si>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</si>
  <si>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</si>
  <si>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</si>
  <si>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</si>
  <si>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</si>
  <si>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</si>
  <si>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</si>
  <si>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</si>
  <si>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</si>
  <si>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</si>
  <si>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</si>
  <si>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</si>
  <si>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</si>
  <si>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</si>
  <si>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</si>
  <si>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</si>
  <si>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</si>
  <si>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</si>
  <si>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</si>
  <si>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</si>
  <si>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</si>
  <si>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</si>
  <si>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</si>
  <si>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</si>
  <si>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</si>
  <si>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</si>
  <si>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</si>
  <si>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</si>
  <si>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</si>
  <si>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</si>
  <si>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</si>
  <si>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</si>
  <si>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</si>
  <si>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</si>
  <si>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</si>
  <si>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</si>
  <si>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</si>
  <si>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</si>
  <si>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</si>
  <si>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</si>
  <si>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</si>
  <si>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</si>
  <si>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</si>
  <si>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</si>
  <si>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</si>
  <si>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</si>
  <si>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</si>
  <si>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</si>
  <si>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</si>
  <si>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</si>
  <si>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</si>
  <si>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</si>
  <si>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</si>
  <si>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</si>
  <si>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</si>
  <si>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</si>
  <si>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</si>
  <si>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</si>
  <si>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</si>
  <si>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</si>
  <si>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</si>
  <si>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</si>
  <si>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</si>
  <si>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</si>
  <si>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</si>
  <si>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</si>
  <si>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</si>
  <si>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</si>
  <si>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</si>
  <si>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</si>
  <si>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</si>
  <si>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</si>
  <si>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</si>
  <si>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</si>
  <si>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</si>
  <si>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</si>
  <si>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</si>
  <si>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</si>
  <si>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</si>
  <si>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</si>
  <si>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</si>
  <si>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</si>
  <si>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</si>
  <si>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</si>
  <si>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</si>
  <si>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</si>
  <si>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</si>
  <si>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</si>
  <si>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</si>
  <si>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</si>
  <si>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</si>
  <si>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</si>
  <si>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</si>
  <si>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</si>
  <si>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</si>
  <si>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</si>
  <si>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</si>
  <si>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</si>
  <si>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</si>
  <si>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</si>
  <si>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</si>
  <si>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</si>
  <si>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</si>
  <si>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</si>
  <si>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</si>
  <si>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</si>
  <si>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</si>
  <si>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</si>
  <si>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</si>
  <si>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</si>
  <si>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</si>
  <si>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</si>
  <si>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</si>
  <si>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</si>
  <si>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</si>
  <si>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</si>
  <si>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</si>
  <si>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</si>
  <si>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</si>
  <si>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</si>
  <si>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</si>
  <si>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</si>
  <si>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</si>
  <si>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</si>
  <si>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</si>
  <si>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</si>
  <si>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</si>
  <si>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</si>
  <si>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</si>
  <si>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</si>
  <si>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</si>
  <si>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</si>
  <si>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</si>
  <si>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</si>
  <si>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</si>
  <si>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</si>
  <si>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</si>
  <si>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</si>
  <si>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</si>
  <si>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</si>
  <si>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</si>
  <si>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</si>
  <si>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</si>
  <si>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</si>
  <si>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</si>
  <si>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</si>
  <si>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</si>
  <si>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</si>
  <si>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</si>
  <si>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</si>
  <si>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</si>
  <si>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</si>
  <si>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</si>
  <si>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</si>
  <si>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</si>
  <si>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</si>
  <si>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</si>
  <si>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</si>
  <si>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</si>
  <si>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</si>
  <si>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</si>
  <si>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</si>
  <si>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</si>
  <si>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</si>
  <si>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</si>
  <si>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</si>
  <si>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</si>
  <si>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</si>
  <si>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</si>
  <si>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</si>
  <si>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</si>
  <si>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</si>
  <si>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</si>
  <si>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</si>
  <si>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</si>
  <si>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</si>
  <si>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</si>
  <si>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</si>
  <si>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</si>
  <si>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</si>
  <si>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</si>
  <si>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</si>
  <si>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</si>
  <si>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</si>
  <si>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</si>
  <si>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</si>
  <si>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</si>
  <si>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</si>
  <si>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</si>
  <si>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</si>
  <si>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</si>
  <si>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</si>
  <si>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</si>
  <si>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</si>
  <si>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</si>
  <si>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</si>
  <si>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</si>
  <si>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</si>
  <si>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</si>
  <si>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</si>
  <si>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</si>
  <si>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</si>
  <si>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</si>
  <si>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</si>
  <si>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</si>
  <si>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</si>
  <si>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</si>
  <si>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</si>
  <si>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</si>
  <si>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</si>
  <si>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</si>
  <si>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</si>
  <si>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</si>
  <si>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</si>
  <si>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</si>
  <si>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</si>
  <si>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</si>
  <si>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</si>
  <si>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</si>
  <si>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</si>
  <si>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</si>
  <si>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</si>
  <si>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</si>
  <si>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</si>
  <si>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</si>
  <si>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</si>
  <si>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</si>
  <si>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</si>
  <si>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</si>
  <si>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</si>
  <si>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</si>
  <si>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</si>
  <si>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</si>
  <si>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</si>
  <si>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</si>
  <si>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</si>
  <si>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</si>
  <si>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</si>
  <si>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</si>
  <si>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</si>
  <si>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</si>
  <si>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</si>
  <si>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</si>
  <si>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</si>
  <si>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</si>
  <si>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</si>
  <si>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</si>
  <si>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</si>
  <si>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</si>
  <si>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</si>
  <si>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</si>
  <si>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</si>
  <si>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</si>
  <si>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</si>
  <si>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</si>
  <si>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</si>
  <si>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</si>
  <si>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</si>
  <si>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</si>
  <si>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</si>
  <si>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</si>
  <si>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</si>
  <si>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</si>
  <si>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</si>
  <si>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</si>
  <si>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</si>
  <si>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</si>
  <si>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</si>
  <si>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</si>
  <si>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</si>
  <si>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</si>
  <si>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</si>
  <si>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</si>
  <si>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</si>
  <si>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</si>
  <si>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</si>
  <si>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</si>
  <si>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</si>
  <si>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</si>
  <si>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</si>
  <si>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</si>
  <si>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</si>
  <si>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</si>
  <si>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</si>
  <si>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</si>
  <si>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</si>
  <si>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</si>
  <si>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</si>
  <si>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</si>
  <si>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</si>
  <si>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</si>
  <si>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</si>
  <si>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</si>
  <si>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</si>
  <si>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</si>
  <si>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</si>
  <si>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</si>
  <si>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</si>
  <si>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</si>
  <si>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</si>
  <si>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</si>
  <si>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</si>
  <si>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</si>
  <si>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</si>
  <si>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</si>
  <si>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</si>
  <si>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</si>
  <si>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</si>
  <si>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</si>
  <si>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</si>
  <si>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</si>
  <si>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</si>
  <si>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</si>
  <si>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</si>
  <si>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</si>
  <si>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</si>
  <si>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</si>
  <si>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</si>
  <si>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</si>
  <si>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</si>
  <si>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</si>
  <si>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</si>
  <si>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</si>
  <si>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</si>
  <si>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</si>
  <si>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</si>
  <si>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</si>
  <si>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</si>
  <si>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</si>
  <si>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</si>
  <si>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</si>
  <si>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</si>
  <si>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</si>
  <si>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</si>
  <si>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</si>
  <si>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</si>
  <si>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</si>
  <si>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</si>
  <si>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</si>
  <si>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</si>
  <si>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</si>
  <si>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</si>
  <si>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</si>
  <si>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</si>
  <si>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</si>
  <si>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</si>
  <si>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</si>
  <si>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</si>
  <si>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</si>
  <si>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</si>
  <si>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</si>
  <si>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</si>
  <si>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</si>
  <si>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</si>
  <si>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</si>
  <si>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</si>
  <si>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</si>
  <si>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</si>
  <si>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</si>
  <si>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</si>
  <si>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</si>
  <si>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</si>
  <si>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</si>
  <si>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</si>
  <si>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</si>
  <si>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</si>
  <si>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</si>
  <si>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</si>
  <si>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</si>
  <si>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</si>
  <si>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</si>
  <si>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</si>
  <si>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</si>
  <si>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</si>
  <si>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</si>
  <si>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</si>
  <si>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</si>
  <si>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</si>
  <si>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</si>
  <si>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</si>
  <si>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</si>
  <si>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</si>
  <si>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</si>
  <si>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</si>
  <si>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</si>
  <si>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</si>
  <si>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</si>
  <si>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</si>
  <si>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</si>
  <si>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</si>
  <si>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</si>
  <si>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</si>
  <si>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</si>
  <si>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</si>
  <si>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</si>
  <si>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</si>
  <si>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</si>
  <si>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</si>
  <si>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</si>
  <si>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</si>
  <si>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</si>
  <si>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</si>
  <si>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</si>
  <si>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</si>
  <si>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</si>
  <si>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</si>
  <si>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</si>
  <si>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</si>
  <si>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</si>
  <si>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</si>
  <si>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</si>
  <si>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</si>
  <si>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</si>
  <si>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</si>
  <si>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</si>
  <si>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</si>
  <si>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</si>
  <si>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</si>
  <si>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</si>
  <si>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</si>
  <si>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</si>
  <si>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</si>
  <si>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</si>
  <si>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</si>
  <si>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</si>
  <si>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</si>
  <si>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</si>
  <si>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</si>
  <si>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</si>
  <si>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</si>
  <si>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</si>
  <si>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</si>
  <si>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</si>
  <si>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</si>
  <si>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</si>
  <si>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</si>
  <si>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</si>
  <si>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</si>
  <si>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</si>
  <si>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</si>
  <si>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</si>
  <si>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</si>
  <si>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</si>
  <si>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</si>
  <si>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</si>
  <si>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</si>
  <si>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</si>
  <si>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</si>
  <si>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</si>
  <si>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</si>
  <si>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</si>
  <si>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</si>
  <si>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</si>
  <si>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</si>
  <si>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</si>
  <si>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</si>
  <si>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</si>
  <si>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</si>
  <si>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</si>
  <si>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</si>
  <si>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</si>
  <si>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</si>
  <si>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</si>
  <si>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</si>
  <si>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</si>
  <si>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</si>
  <si>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</si>
  <si>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</si>
  <si>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</si>
  <si>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</si>
  <si>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</si>
  <si>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</si>
  <si>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</si>
  <si>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</si>
  <si>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</si>
  <si>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</si>
  <si>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</si>
  <si>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</si>
  <si>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</si>
  <si>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</si>
  <si>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</si>
  <si>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</si>
  <si>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</si>
  <si>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</si>
  <si>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</si>
  <si>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</si>
  <si>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</si>
  <si>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</si>
  <si>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</si>
  <si>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</si>
  <si>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</si>
  <si>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</si>
  <si>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</si>
  <si>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</si>
  <si>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</si>
  <si>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</si>
  <si>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</si>
  <si>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</si>
  <si>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</si>
  <si>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</si>
  <si>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</si>
  <si>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</si>
  <si>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</si>
  <si>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</si>
  <si>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</si>
  <si>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</si>
  <si>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</si>
  <si>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</si>
  <si>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</si>
  <si>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</si>
  <si>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</si>
  <si>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</si>
  <si>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</si>
  <si>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</si>
  <si>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</si>
  <si>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</si>
  <si>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</si>
  <si>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</si>
  <si>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</si>
  <si>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</si>
  <si>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</si>
  <si>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</si>
  <si>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</si>
  <si>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</si>
  <si>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</si>
  <si>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</si>
  <si>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</si>
  <si>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</si>
  <si>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</si>
  <si>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</si>
  <si>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</si>
  <si>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</si>
  <si>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</si>
  <si>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</si>
  <si>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</si>
  <si>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</si>
  <si>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</si>
  <si>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</si>
  <si>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</si>
  <si>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</si>
  <si>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</si>
  <si>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</si>
  <si>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</si>
  <si>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</si>
  <si>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</si>
  <si>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</si>
  <si>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</si>
  <si>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</si>
  <si>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</si>
  <si>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</si>
  <si>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</si>
  <si>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</si>
  <si>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</si>
  <si>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</si>
  <si>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</si>
  <si>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</si>
  <si>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</si>
  <si>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</si>
  <si>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</si>
  <si>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</si>
  <si>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</si>
  <si>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</si>
  <si>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</si>
  <si>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</si>
  <si>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</si>
  <si>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</si>
  <si>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</si>
  <si>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</si>
  <si>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</si>
  <si>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</si>
  <si>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</si>
  <si>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</si>
  <si>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</si>
  <si>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</si>
  <si>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</si>
  <si>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</si>
  <si>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</si>
  <si>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</si>
  <si>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</si>
  <si>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</si>
  <si>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</si>
  <si>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</si>
  <si>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</si>
  <si>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</si>
  <si>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</si>
  <si>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</si>
  <si>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</si>
  <si>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</si>
  <si>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</si>
  <si>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</si>
  <si>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</si>
  <si>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</si>
  <si>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</si>
  <si>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</si>
  <si>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</si>
  <si>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</si>
  <si>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</si>
  <si>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</si>
  <si>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</si>
  <si>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</si>
  <si>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</si>
  <si>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</si>
  <si>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</si>
  <si>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</si>
  <si>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</si>
  <si>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</si>
  <si>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</si>
  <si>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</si>
  <si>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</si>
  <si>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</si>
  <si>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</si>
  <si>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</si>
  <si>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</si>
  <si>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</si>
  <si>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</si>
  <si>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</si>
  <si>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</si>
  <si>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</si>
  <si>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</si>
  <si>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</si>
  <si>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</si>
  <si>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</si>
  <si>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</si>
  <si>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</si>
  <si>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</si>
  <si>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</si>
  <si>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</si>
  <si>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</si>
  <si>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</si>
  <si>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</si>
  <si>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</si>
  <si>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</si>
  <si>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</si>
  <si>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</si>
  <si>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</si>
  <si>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</si>
  <si>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</si>
  <si>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</si>
  <si>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</si>
  <si>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</si>
  <si>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</si>
  <si>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</si>
  <si>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</si>
  <si>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</si>
  <si>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</si>
  <si>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</si>
  <si>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</si>
  <si>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</si>
  <si>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</si>
  <si>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</si>
  <si>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</si>
  <si>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</si>
  <si>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</si>
  <si>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</si>
  <si>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</si>
  <si>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</si>
  <si>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</si>
  <si>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</si>
  <si>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</si>
  <si>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</si>
  <si>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</si>
  <si>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</si>
  <si>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</si>
  <si>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</si>
  <si>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</si>
  <si>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</si>
  <si>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</si>
  <si>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</si>
  <si>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</si>
  <si>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</si>
  <si>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</si>
  <si>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</si>
  <si>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</si>
  <si>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</si>
  <si>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</si>
  <si>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</si>
  <si>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</si>
  <si>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</si>
  <si>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</si>
  <si>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</si>
  <si>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</si>
  <si>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</si>
  <si>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</si>
  <si>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</si>
  <si>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</si>
  <si>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</si>
  <si>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</si>
  <si>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</si>
  <si>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</si>
  <si>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</si>
  <si>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</si>
  <si>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</si>
  <si>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</si>
  <si>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</si>
  <si>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</si>
  <si>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</si>
  <si>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</si>
  <si>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</si>
  <si>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</si>
  <si>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</si>
  <si>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</si>
  <si>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</si>
  <si>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</si>
  <si>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</si>
  <si>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</si>
  <si>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</si>
  <si>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</si>
  <si>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</si>
  <si>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</si>
  <si>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</si>
  <si>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</si>
  <si>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</si>
  <si>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</si>
  <si>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</si>
  <si>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</si>
  <si>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</si>
  <si>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</si>
  <si>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</si>
  <si>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</si>
  <si>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</si>
  <si>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</si>
  <si>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</si>
  <si>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</si>
  <si>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</si>
  <si>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</si>
  <si>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</si>
  <si>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</si>
  <si>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</si>
  <si>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</si>
  <si>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</si>
  <si>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</si>
  <si>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</si>
  <si>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</si>
  <si>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</si>
  <si>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</si>
  <si>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</si>
  <si>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</si>
  <si>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</si>
  <si>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</si>
  <si>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</si>
  <si>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</si>
  <si>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</si>
  <si>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</si>
  <si>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</si>
  <si>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</si>
  <si>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</si>
  <si>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</si>
  <si>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</si>
  <si>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</si>
  <si>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</si>
  <si>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</si>
  <si>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</si>
  <si>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</si>
  <si>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</si>
  <si>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</si>
  <si>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</si>
  <si>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</si>
  <si>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</si>
  <si>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</si>
  <si>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</si>
  <si>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</si>
  <si>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</si>
  <si>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</si>
  <si>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</si>
  <si>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</si>
  <si>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</si>
  <si>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</si>
  <si>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</si>
  <si>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</si>
  <si>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</si>
  <si>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</si>
  <si>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</si>
  <si>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</si>
  <si>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</si>
  <si>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</si>
  <si>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</si>
  <si>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</si>
  <si>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</si>
  <si>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</si>
  <si>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</si>
  <si>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</si>
  <si>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</si>
  <si>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</si>
  <si>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</si>
  <si>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</si>
  <si>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</si>
  <si>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</si>
  <si>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</si>
  <si>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</si>
  <si>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</si>
  <si>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</si>
  <si>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</si>
  <si>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</si>
  <si>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</si>
  <si>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</si>
  <si>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</si>
  <si>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</si>
  <si>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</si>
  <si>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</si>
  <si>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</si>
  <si>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</si>
  <si>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</si>
  <si>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</si>
  <si>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</si>
  <si>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</si>
  <si>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</si>
  <si>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</si>
  <si>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</si>
  <si>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</si>
  <si>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</si>
  <si>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</si>
  <si>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</si>
  <si>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</si>
  <si>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</si>
  <si>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</si>
  <si>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</si>
  <si>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</si>
  <si>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</si>
  <si>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</si>
  <si>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</si>
  <si>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</si>
  <si>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</si>
  <si>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</si>
  <si>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</si>
  <si>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</si>
  <si>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</si>
  <si>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</si>
  <si>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</si>
  <si>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</si>
  <si>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</si>
  <si>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</si>
  <si>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</si>
  <si>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</si>
  <si>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</si>
  <si>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</si>
  <si>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</si>
  <si>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</si>
  <si>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</si>
  <si>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</si>
  <si>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</si>
  <si>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</si>
  <si>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</si>
  <si>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</si>
  <si>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</si>
  <si>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</si>
  <si>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</si>
  <si>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</si>
  <si>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</si>
  <si>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</si>
  <si>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</si>
  <si>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</si>
  <si>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</si>
  <si>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</si>
  <si>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</si>
  <si>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</si>
  <si>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</si>
  <si>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</si>
  <si>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</si>
  <si>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</si>
  <si>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</si>
  <si>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</si>
  <si>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</si>
  <si>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</si>
  <si>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</si>
  <si>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</si>
  <si>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</si>
  <si>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</si>
  <si>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</si>
  <si>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</si>
  <si>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</si>
  <si>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</si>
  <si>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</si>
  <si>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</si>
  <si>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</si>
  <si>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</si>
  <si>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</si>
  <si>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</si>
  <si>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</si>
  <si>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</si>
  <si>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</si>
  <si>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</si>
  <si>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</si>
  <si>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</si>
  <si>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</si>
  <si>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</si>
  <si>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</si>
  <si>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</si>
  <si>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</si>
  <si>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</si>
  <si>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</si>
  <si>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</si>
  <si>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</si>
  <si>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</si>
  <si>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</si>
  <si>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</si>
  <si>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</si>
  <si>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</si>
  <si>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</si>
  <si>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</si>
  <si>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</si>
  <si>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</si>
  <si>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</si>
  <si>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</si>
  <si>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</si>
  <si>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</si>
  <si>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</si>
  <si>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</si>
  <si>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</si>
  <si>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</si>
  <si>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</si>
  <si>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</si>
  <si>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</si>
  <si>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</si>
  <si>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</si>
  <si>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</si>
  <si>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</si>
  <si>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</si>
  <si>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</si>
  <si>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</si>
  <si>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</si>
  <si>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</si>
  <si>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</si>
  <si>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</si>
  <si>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</si>
  <si>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</si>
  <si>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</si>
  <si>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</si>
  <si>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</si>
  <si>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</si>
  <si>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</si>
  <si>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</si>
  <si>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</si>
  <si>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</si>
  <si>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</si>
  <si>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</si>
  <si>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</si>
  <si>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</si>
  <si>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</si>
  <si>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</si>
  <si>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</si>
  <si>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</si>
  <si>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</si>
  <si>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</si>
  <si>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</si>
  <si>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</si>
  <si>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</si>
  <si>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</si>
  <si>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</si>
  <si>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</si>
  <si>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</si>
  <si>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</si>
  <si>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</si>
  <si>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</si>
  <si>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</si>
  <si>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</si>
  <si>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</si>
  <si>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</si>
  <si>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</si>
  <si>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</si>
  <si>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</si>
  <si>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</si>
  <si>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</si>
  <si>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</si>
  <si>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</si>
  <si>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</si>
  <si>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</si>
  <si>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</si>
  <si>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</si>
  <si>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</si>
  <si>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</si>
  <si>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</si>
  <si>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</si>
  <si>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</si>
  <si>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</si>
  <si>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</si>
  <si>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</si>
  <si>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</si>
  <si>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</si>
  <si>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</si>
  <si>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</si>
  <si>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</si>
  <si>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</si>
  <si>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</si>
  <si>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</si>
  <si>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</si>
  <si>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</si>
  <si>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</si>
  <si>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</si>
  <si>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</si>
  <si>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</si>
  <si>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</si>
  <si>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</si>
  <si>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</si>
  <si>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</si>
  <si>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</si>
  <si>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</si>
  <si>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</si>
  <si>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</si>
  <si>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</si>
  <si>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</si>
  <si>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</si>
  <si>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</si>
  <si>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</si>
  <si>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</si>
  <si>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</si>
  <si>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</si>
  <si>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</si>
  <si>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</si>
  <si>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</si>
  <si>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</si>
  <si>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</si>
  <si>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</si>
  <si>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</si>
  <si>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</si>
  <si>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</si>
  <si>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</si>
  <si>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</si>
  <si>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</si>
  <si>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</si>
  <si>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</si>
  <si>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</si>
  <si>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</si>
  <si>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</si>
  <si>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</si>
  <si>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</si>
  <si>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</si>
  <si>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</si>
  <si>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</si>
  <si>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</si>
  <si>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</si>
  <si>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</si>
  <si>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</si>
  <si>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</si>
  <si>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</si>
  <si>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</si>
  <si>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</si>
  <si>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</si>
  <si>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</si>
  <si>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</si>
  <si>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</si>
  <si>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</si>
  <si>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</si>
  <si>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</si>
  <si>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</si>
  <si>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</si>
  <si>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</si>
  <si>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</si>
  <si>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</si>
  <si>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</si>
  <si>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</si>
  <si>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</si>
  <si>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</si>
  <si>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</si>
  <si>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</si>
  <si>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</si>
  <si>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</si>
  <si>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</si>
  <si>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</si>
  <si>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</si>
  <si>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</si>
  <si>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</si>
  <si>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</si>
  <si>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</si>
  <si>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</si>
  <si>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</si>
  <si>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</si>
  <si>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</si>
  <si>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</si>
  <si>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</si>
  <si>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</si>
  <si>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</si>
  <si>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</si>
  <si>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</si>
  <si>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</si>
  <si>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</si>
  <si>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</si>
  <si>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</si>
  <si>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</si>
  <si>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</si>
  <si>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</si>
  <si>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</si>
  <si>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</si>
  <si>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</si>
  <si>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</si>
  <si>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</si>
  <si>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</si>
  <si>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</si>
  <si>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</si>
  <si>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</si>
  <si>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</si>
  <si>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</si>
  <si>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</si>
  <si>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</si>
  <si>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</si>
  <si>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</si>
  <si>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</si>
  <si>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</si>
  <si>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</si>
  <si>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</si>
  <si>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</si>
  <si>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</si>
  <si>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</si>
  <si>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</si>
  <si>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</si>
  <si>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</si>
  <si>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</si>
  <si>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</si>
  <si>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</si>
  <si>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</si>
  <si>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</si>
  <si>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</si>
  <si>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</si>
  <si>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</si>
  <si>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</si>
  <si>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</si>
  <si>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</si>
  <si>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</si>
  <si>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</si>
  <si>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</si>
  <si>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</si>
  <si>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</si>
  <si>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</si>
  <si>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</si>
  <si>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</si>
  <si>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</si>
  <si>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</si>
  <si>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</si>
  <si>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</si>
  <si>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</si>
  <si>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</si>
  <si>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</si>
  <si>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</si>
  <si>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</si>
  <si>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</si>
  <si>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</si>
  <si>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</si>
  <si>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</si>
  <si>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</si>
  <si>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</si>
  <si>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</si>
  <si>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</si>
  <si>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</si>
  <si>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</si>
  <si>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</si>
  <si>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</si>
  <si>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</si>
  <si>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</si>
  <si>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</si>
  <si>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</si>
  <si>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</si>
  <si>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</si>
  <si>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</si>
  <si>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</si>
  <si>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</si>
  <si>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</si>
  <si>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</si>
  <si>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</si>
  <si>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</si>
  <si>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</si>
  <si>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</si>
  <si>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</si>
  <si>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</si>
  <si>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</si>
  <si>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</si>
  <si>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</si>
  <si>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</si>
  <si>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</si>
  <si>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</si>
  <si>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</si>
  <si>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</si>
  <si>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</si>
  <si>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</si>
  <si>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</si>
  <si>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</si>
  <si>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</si>
  <si>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</si>
  <si>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</si>
  <si>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</si>
  <si>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</si>
  <si>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</si>
  <si>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</si>
  <si>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</si>
  <si>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</si>
  <si>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</si>
  <si>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</si>
  <si>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</si>
  <si>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</si>
  <si>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</si>
  <si>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</si>
  <si>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</si>
  <si>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</si>
  <si>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</si>
  <si>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</si>
  <si>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</si>
  <si>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</si>
  <si>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</si>
  <si>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</si>
  <si>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</si>
  <si>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</si>
  <si>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</si>
  <si>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</si>
  <si>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</si>
  <si>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</si>
  <si>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</si>
  <si>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</si>
  <si>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</si>
  <si>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</si>
  <si>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</si>
  <si>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</si>
  <si>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</si>
  <si>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</si>
  <si>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</si>
  <si>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</si>
  <si>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</si>
  <si>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</si>
  <si>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</si>
  <si>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</si>
  <si>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</si>
  <si>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</si>
  <si>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</si>
  <si>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</si>
  <si>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</si>
  <si>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</si>
  <si>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</si>
  <si>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</si>
  <si>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</si>
  <si>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</si>
  <si>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</si>
  <si>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</si>
  <si>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</si>
  <si>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</si>
  <si>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</si>
  <si>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</si>
  <si>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</si>
  <si>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</si>
  <si>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</si>
  <si>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</si>
  <si>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</si>
  <si>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</si>
  <si>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</si>
  <si>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</si>
  <si>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</si>
  <si>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</si>
  <si>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</si>
  <si>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</si>
  <si>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</si>
  <si>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</si>
  <si>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</si>
  <si>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</si>
  <si>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</si>
  <si>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</si>
  <si>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</si>
  <si>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</si>
  <si>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</si>
  <si>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</si>
  <si>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</si>
  <si>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</si>
  <si>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</si>
  <si>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</si>
  <si>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</si>
  <si>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</si>
  <si>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</si>
  <si>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</si>
  <si>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</si>
  <si>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</si>
  <si>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</si>
  <si>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</si>
  <si>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</si>
  <si>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</si>
  <si>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</si>
  <si>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</si>
  <si>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</si>
  <si>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</si>
  <si>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</si>
  <si>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</si>
  <si>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</si>
  <si>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</si>
  <si>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</si>
  <si>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</si>
  <si>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</si>
  <si>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</si>
  <si>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</si>
  <si>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</si>
  <si>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</si>
  <si>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</si>
  <si>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</si>
  <si>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</si>
  <si>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</si>
  <si>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</si>
  <si>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</si>
  <si>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</si>
  <si>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</si>
  <si>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</si>
  <si>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</si>
  <si>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</si>
  <si>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</si>
  <si>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</si>
  <si>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</si>
  <si>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</si>
  <si>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</si>
  <si>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</si>
  <si>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</si>
  <si>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</si>
  <si>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</si>
  <si>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</si>
  <si>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</si>
  <si>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</si>
  <si>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</si>
  <si>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</si>
  <si>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</si>
  <si>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</si>
  <si>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</si>
  <si>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</si>
  <si>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</si>
  <si>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</si>
  <si>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</si>
  <si>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</si>
  <si>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</si>
  <si>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</si>
  <si>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</si>
  <si>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</si>
  <si>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</si>
  <si>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</si>
  <si>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</si>
  <si>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</si>
  <si>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</si>
  <si>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</si>
  <si>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</si>
  <si>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</si>
  <si>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</si>
  <si>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</si>
  <si>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</si>
  <si>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</si>
  <si>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</si>
  <si>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</si>
  <si>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</si>
  <si>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</si>
  <si>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</si>
  <si>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</si>
  <si>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</si>
  <si>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</si>
  <si>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</si>
  <si>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</si>
  <si>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</si>
  <si>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</si>
  <si>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</si>
  <si>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</si>
  <si>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</si>
  <si>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</si>
  <si>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</si>
  <si>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</si>
  <si>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</si>
  <si>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</si>
  <si>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</si>
  <si>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</si>
  <si>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</si>
  <si>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</si>
  <si>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</si>
  <si>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</si>
  <si>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</si>
  <si>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</si>
  <si>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</si>
  <si>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</si>
  <si>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</si>
  <si>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</si>
  <si>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</si>
  <si>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</si>
  <si>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</si>
  <si>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</si>
  <si>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</si>
  <si>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</si>
  <si>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</si>
  <si>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</si>
  <si>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</si>
  <si>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</si>
  <si>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</si>
  <si>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</si>
  <si>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</si>
  <si>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</si>
  <si>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</si>
  <si>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</si>
  <si>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</si>
  <si>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</si>
  <si>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</si>
  <si>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</si>
  <si>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</si>
  <si>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</si>
  <si>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</si>
  <si>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</si>
  <si>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</si>
  <si>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</si>
  <si>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</si>
  <si>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</si>
  <si>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</si>
  <si>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</si>
  <si>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</si>
  <si>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</si>
  <si>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</si>
  <si>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</si>
  <si>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</si>
  <si>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</si>
  <si>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</si>
  <si>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</si>
  <si>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</si>
  <si>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</si>
  <si>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</si>
  <si>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</si>
  <si>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</si>
  <si>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</si>
  <si>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</si>
  <si>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</si>
  <si>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</si>
  <si>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</si>
  <si>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</si>
  <si>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</si>
  <si>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</si>
  <si>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</si>
  <si>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</si>
  <si>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</si>
  <si>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</si>
  <si>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</si>
  <si>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</si>
  <si>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</si>
  <si>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</si>
  <si>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</si>
  <si>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</si>
  <si>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</si>
  <si>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</si>
  <si>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</si>
  <si>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</si>
  <si>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</si>
  <si>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</si>
  <si>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</si>
  <si>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</si>
  <si>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</si>
  <si>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</si>
  <si>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</si>
  <si>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</si>
  <si>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</si>
  <si>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</si>
  <si>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</si>
  <si>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</si>
  <si>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</si>
  <si>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</si>
  <si>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</si>
  <si>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</si>
  <si>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</si>
  <si>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</si>
  <si>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</si>
  <si>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</si>
  <si>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</si>
  <si>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</si>
  <si>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</si>
  <si>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</si>
  <si>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</si>
  <si>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</si>
  <si>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</si>
  <si>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</si>
  <si>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</si>
  <si>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</si>
  <si>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</si>
  <si>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</si>
  <si>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</si>
  <si>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</si>
  <si>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</si>
  <si>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</si>
  <si>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</si>
  <si>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</si>
  <si>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</si>
  <si>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</si>
  <si>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</si>
  <si>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</si>
  <si>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</si>
  <si>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</si>
  <si>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</si>
  <si>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</si>
  <si>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</si>
  <si>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</si>
  <si>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</si>
  <si>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</si>
  <si>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</si>
  <si>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</si>
  <si>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</si>
  <si>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</si>
  <si>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</si>
  <si>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</si>
  <si>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</si>
  <si>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</si>
  <si>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</si>
  <si>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</si>
  <si>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</si>
  <si>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</si>
  <si>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</si>
  <si>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</si>
  <si>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</si>
  <si>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</si>
  <si>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</si>
  <si>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</si>
  <si>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</si>
  <si>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</si>
  <si>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</si>
  <si>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</si>
  <si>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</si>
  <si>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</si>
  <si>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</si>
  <si>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</si>
  <si>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</si>
  <si>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</si>
  <si>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</si>
  <si>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</si>
  <si>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</si>
  <si>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</si>
  <si>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</si>
  <si>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</si>
  <si>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</si>
  <si>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</si>
  <si>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</si>
  <si>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</si>
  <si>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</si>
  <si>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</si>
  <si>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</si>
  <si>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</si>
  <si>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</si>
  <si>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</si>
  <si>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</si>
  <si>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</si>
  <si>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</si>
  <si>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</si>
  <si>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</si>
  <si>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</si>
  <si>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</si>
  <si>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</si>
  <si>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</si>
  <si>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</si>
  <si>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</si>
  <si>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</si>
  <si>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</si>
  <si>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</si>
  <si>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</si>
  <si>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</si>
  <si>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</si>
  <si>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</si>
  <si>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</si>
  <si>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</si>
  <si>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</si>
  <si>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</si>
  <si>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</si>
  <si>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</si>
  <si>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</si>
  <si>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</si>
  <si>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</si>
  <si>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</si>
  <si>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</si>
  <si>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</si>
  <si>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</si>
  <si>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</si>
  <si>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</si>
  <si>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</si>
  <si>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</si>
  <si>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</si>
  <si>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</si>
  <si>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</si>
  <si>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</si>
  <si>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</si>
  <si>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</si>
  <si>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</si>
  <si>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</si>
  <si>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</si>
  <si>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</si>
  <si>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</si>
  <si>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</si>
  <si>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</si>
  <si>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</si>
  <si>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</si>
  <si>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</si>
  <si>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</si>
  <si>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</si>
  <si>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</si>
  <si>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</si>
  <si>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</si>
  <si>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</si>
  <si>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</si>
  <si>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</si>
  <si>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</si>
  <si>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</si>
  <si>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</si>
  <si>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</si>
  <si>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</si>
  <si>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</si>
  <si>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</si>
  <si>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</si>
  <si>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</si>
  <si>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</si>
  <si>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</si>
  <si>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</si>
  <si>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</si>
  <si>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</si>
  <si>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</si>
  <si>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</si>
  <si>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</si>
  <si>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</si>
  <si>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</si>
  <si>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</si>
  <si>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</si>
  <si>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</si>
  <si>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</si>
  <si>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</si>
  <si>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</si>
  <si>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</si>
  <si>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</si>
  <si>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</si>
  <si>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</si>
  <si>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</si>
  <si>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</si>
  <si>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</si>
  <si>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</si>
  <si>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</si>
  <si>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</si>
  <si>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</si>
  <si>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</si>
  <si>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</si>
  <si>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</si>
  <si>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</si>
  <si>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</si>
  <si>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</si>
  <si>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</si>
  <si>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</si>
  <si>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</si>
  <si>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</si>
  <si>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</si>
  <si>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</si>
  <si>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</si>
  <si>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</si>
  <si>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</si>
  <si>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</si>
  <si>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</si>
  <si>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</si>
  <si>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</si>
  <si>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</si>
  <si>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</si>
  <si>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</si>
  <si>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</si>
  <si>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</si>
  <si>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</si>
  <si>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</si>
  <si>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</si>
  <si>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</si>
  <si>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</si>
  <si>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</si>
  <si>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</si>
  <si>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</si>
  <si>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</si>
  <si>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</si>
  <si>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</si>
  <si>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</si>
  <si>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</si>
  <si>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</si>
  <si>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</si>
  <si>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</si>
  <si>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</si>
  <si>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</si>
  <si>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</si>
  <si>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</si>
  <si>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</si>
  <si>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</si>
  <si>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</si>
  <si>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</si>
  <si>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</si>
  <si>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</si>
  <si>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</si>
  <si>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</si>
  <si>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</si>
  <si>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</si>
  <si>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</si>
  <si>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</si>
  <si>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</si>
  <si>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</si>
  <si>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</si>
  <si>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</si>
  <si>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</si>
  <si>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</si>
  <si>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</si>
  <si>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</si>
  <si>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</si>
  <si>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</si>
  <si>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</si>
  <si>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</si>
  <si>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</si>
  <si>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</si>
  <si>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</si>
  <si>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</si>
  <si>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</si>
  <si>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</si>
  <si>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</si>
  <si>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</si>
  <si>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</si>
  <si>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</si>
  <si>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</si>
  <si>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</si>
  <si>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</si>
  <si>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</si>
  <si>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</si>
  <si>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</si>
  <si>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</si>
  <si>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</si>
  <si>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</si>
  <si>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</si>
  <si>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</si>
  <si>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</si>
  <si>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</si>
  <si>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</si>
  <si>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</si>
  <si>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</si>
  <si>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</si>
  <si>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</si>
  <si>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</si>
  <si>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</si>
  <si>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</si>
  <si>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</si>
  <si>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</si>
  <si>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</si>
  <si>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</si>
  <si>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</si>
  <si>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</si>
  <si>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</si>
  <si>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</si>
  <si>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</si>
  <si>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</si>
  <si>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</si>
  <si>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</si>
  <si>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</si>
  <si>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</si>
  <si>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</si>
  <si>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</si>
  <si>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</si>
  <si>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</si>
  <si>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</si>
  <si>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</si>
  <si>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</si>
  <si>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</si>
  <si>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</si>
  <si>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</si>
  <si>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</si>
  <si>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</si>
  <si>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</si>
  <si>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</si>
  <si>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</si>
  <si>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</si>
  <si>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</si>
  <si>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</si>
  <si>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</si>
  <si>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</si>
  <si>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</si>
  <si>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</si>
  <si>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</si>
  <si>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</si>
  <si>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</si>
  <si>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</si>
  <si>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</si>
  <si>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</si>
  <si>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</si>
  <si>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</si>
  <si>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</si>
  <si>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</si>
  <si>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</si>
  <si>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</si>
  <si>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</si>
  <si>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</si>
  <si>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</si>
  <si>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</si>
  <si>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</si>
  <si>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</si>
  <si>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</si>
  <si>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</si>
  <si>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</si>
  <si>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</si>
  <si>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</si>
  <si>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</si>
  <si>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</si>
  <si>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</si>
  <si>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</si>
  <si>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</si>
  <si>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</si>
  <si>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</si>
  <si>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</si>
  <si>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</si>
  <si>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</si>
  <si>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</si>
  <si>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</si>
  <si>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</si>
  <si>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</si>
  <si>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</si>
  <si>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</si>
  <si>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</si>
  <si>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</si>
  <si>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</si>
  <si>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</si>
  <si>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</si>
  <si>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</si>
  <si>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</si>
  <si>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</si>
  <si>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</si>
  <si>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</si>
  <si>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</si>
  <si>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</si>
  <si>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</si>
  <si>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</si>
  <si>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</si>
  <si>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</si>
  <si>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</si>
  <si>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</si>
  <si>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</si>
  <si>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</si>
  <si>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</si>
  <si>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</si>
  <si>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</si>
  <si>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</si>
  <si>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</si>
  <si>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</si>
  <si>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</si>
  <si>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</si>
  <si>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</si>
  <si>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</si>
  <si>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</si>
  <si>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</si>
  <si>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</si>
  <si>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</si>
  <si>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</si>
  <si>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</si>
  <si>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</si>
  <si>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</si>
  <si>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</si>
  <si>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</si>
  <si>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</si>
  <si>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</si>
  <si>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</si>
  <si>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</si>
  <si>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</si>
  <si>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</si>
  <si>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</si>
  <si>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</si>
  <si>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</si>
  <si>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</si>
  <si>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</si>
  <si>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</si>
  <si>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</si>
  <si>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</si>
  <si>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</si>
  <si>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</si>
  <si>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</si>
  <si>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</si>
  <si>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</si>
  <si>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</si>
  <si>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</si>
  <si>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</si>
  <si>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</si>
  <si>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</si>
  <si>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</si>
  <si>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</si>
  <si>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</si>
  <si>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</si>
  <si>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</si>
  <si>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</si>
  <si>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</si>
  <si>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</si>
  <si>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</si>
  <si>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</si>
  <si>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</si>
  <si>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</si>
  <si>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</si>
  <si>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</si>
  <si>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</si>
  <si>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</si>
  <si>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</si>
  <si>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</si>
  <si>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</si>
  <si>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</si>
  <si>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</si>
  <si>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</si>
  <si>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</si>
  <si>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</si>
  <si>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</si>
  <si>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</si>
  <si>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</si>
  <si>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</si>
  <si>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</si>
  <si>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</si>
  <si>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</si>
  <si>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</si>
  <si>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</si>
  <si>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</si>
  <si>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</si>
  <si>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</si>
  <si>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</si>
  <si>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</si>
  <si>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</si>
  <si>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</si>
  <si>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</si>
  <si>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</si>
  <si>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</si>
  <si>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</si>
  <si>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</si>
  <si>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</si>
  <si>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</si>
  <si>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</si>
  <si>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</si>
  <si>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</si>
  <si>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</si>
  <si>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</si>
  <si>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</si>
  <si>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</si>
  <si>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</si>
  <si>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</si>
  <si>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</si>
  <si>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</si>
  <si>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</si>
  <si>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</si>
  <si>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</si>
  <si>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</si>
  <si>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</si>
  <si>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</si>
  <si>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</si>
  <si>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</si>
  <si>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</si>
  <si>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</si>
  <si>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</si>
  <si>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</si>
  <si>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</si>
  <si>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</si>
  <si>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</si>
  <si>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</si>
  <si>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</si>
  <si>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</si>
  <si>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</si>
  <si>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</si>
  <si>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</si>
  <si>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</si>
  <si>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</si>
  <si>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</si>
  <si>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</si>
  <si>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</si>
  <si>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</si>
  <si>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</si>
  <si>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</si>
  <si>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</si>
  <si>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</si>
  <si>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</si>
  <si>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</si>
  <si>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</si>
  <si>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</si>
  <si>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</si>
  <si>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</si>
  <si>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</si>
  <si>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</si>
  <si>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</si>
  <si>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</si>
  <si>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</si>
  <si>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</si>
  <si>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</si>
  <si>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</si>
  <si>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</si>
  <si>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</si>
  <si>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</si>
  <si>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</si>
  <si>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</si>
  <si>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</si>
  <si>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</si>
  <si>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</si>
  <si>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</si>
  <si>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</si>
  <si>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</si>
  <si>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</si>
  <si>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</si>
  <si>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</si>
  <si>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</si>
  <si>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</si>
  <si>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</si>
  <si>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</si>
  <si>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</si>
  <si>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</si>
  <si>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</si>
  <si>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</si>
  <si>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</si>
  <si>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</si>
  <si>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</si>
  <si>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</si>
  <si>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</si>
  <si>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</si>
  <si>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</si>
  <si>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</si>
  <si>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</si>
  <si>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</si>
  <si>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</si>
  <si>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</si>
  <si>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</si>
  <si>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</si>
  <si>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</si>
  <si>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</si>
  <si>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</si>
  <si>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</si>
  <si>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</si>
  <si>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</si>
  <si>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</si>
  <si>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</si>
  <si>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</si>
  <si>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</si>
  <si>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</si>
  <si>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</si>
  <si>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</si>
  <si>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</si>
  <si>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</si>
  <si>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</si>
  <si>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</si>
  <si>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</si>
  <si>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</si>
  <si>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</si>
  <si>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</si>
  <si>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</si>
  <si>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</si>
  <si>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</si>
  <si>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</si>
  <si>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</si>
  <si>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</si>
  <si>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</si>
  <si>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</si>
  <si>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</si>
  <si>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</si>
  <si>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</si>
  <si>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</si>
  <si>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</si>
  <si>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</si>
  <si>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</si>
  <si>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</si>
  <si>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</si>
  <si>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</si>
  <si>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</si>
  <si>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</si>
  <si>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</si>
  <si>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</si>
  <si>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</si>
  <si>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</si>
  <si>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</si>
  <si>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</si>
  <si>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</si>
  <si>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</si>
  <si>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</si>
  <si>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</si>
  <si>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</si>
  <si>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</si>
  <si>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</si>
  <si>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</si>
  <si>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</si>
  <si>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</si>
  <si>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</si>
  <si>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</si>
  <si>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</si>
  <si>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</si>
  <si>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</si>
  <si>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</si>
  <si>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</si>
  <si>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</si>
  <si>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</si>
  <si>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</si>
  <si>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</si>
  <si>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</si>
  <si>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</si>
  <si>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</si>
  <si>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</si>
  <si>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</si>
  <si>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</si>
  <si>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</si>
  <si>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</si>
  <si>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</si>
  <si>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</si>
  <si>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</si>
  <si>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</si>
  <si>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</si>
  <si>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</si>
  <si>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</si>
  <si>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</si>
  <si>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</si>
  <si>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</si>
  <si>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</si>
  <si>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</si>
  <si>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</si>
  <si>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</si>
  <si>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</si>
  <si>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</si>
  <si>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</si>
  <si>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</si>
  <si>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</si>
  <si>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</si>
  <si>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</si>
  <si>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</si>
  <si>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</si>
  <si>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</si>
  <si>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</si>
  <si>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</si>
  <si>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</si>
  <si>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</si>
  <si>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</si>
  <si>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</si>
  <si>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</si>
  <si>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</si>
  <si>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</si>
  <si>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</si>
  <si>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</si>
  <si>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</si>
  <si>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</si>
  <si>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</si>
  <si>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</si>
  <si>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</si>
  <si>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</si>
  <si>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</si>
  <si>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</si>
  <si>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</si>
  <si>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</si>
  <si>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</si>
  <si>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</si>
  <si>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</si>
  <si>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</si>
  <si>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</si>
  <si>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</si>
  <si>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</si>
  <si>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</si>
  <si>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</si>
  <si>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</si>
  <si>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</si>
  <si>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</si>
  <si>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</si>
  <si>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</si>
  <si>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</si>
  <si>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</si>
  <si>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</si>
  <si>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</si>
  <si>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</si>
  <si>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</si>
  <si>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</si>
  <si>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</si>
  <si>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</si>
  <si>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</si>
  <si>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</si>
  <si>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</si>
  <si>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</si>
  <si>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</si>
  <si>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</si>
  <si>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</si>
  <si>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</si>
  <si>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</si>
  <si>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</si>
  <si>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</si>
  <si>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</si>
  <si>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</si>
  <si>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</si>
  <si>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</si>
  <si>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</si>
  <si>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</si>
  <si>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</si>
  <si>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</si>
  <si>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</si>
  <si>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</si>
  <si>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</si>
  <si>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</si>
  <si>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</si>
  <si>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</si>
  <si>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</si>
  <si>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</si>
  <si>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</si>
  <si>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</si>
  <si>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</si>
  <si>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</si>
  <si>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</si>
  <si>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</si>
  <si>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</si>
  <si>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</si>
  <si>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</si>
  <si>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</si>
  <si>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</si>
  <si>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</si>
  <si>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</si>
  <si>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</si>
  <si>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</si>
  <si>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</si>
  <si>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</si>
  <si>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</si>
  <si>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</si>
  <si>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</si>
  <si>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</si>
  <si>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</si>
  <si>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</si>
  <si>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</si>
  <si>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</si>
  <si>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</si>
  <si>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</si>
  <si>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</si>
  <si>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</si>
  <si>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</si>
  <si>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</si>
  <si>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</si>
  <si>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</si>
  <si>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</si>
  <si>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</si>
  <si>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</si>
  <si>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</si>
  <si>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</si>
  <si>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</si>
  <si>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</si>
  <si>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</si>
  <si>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</si>
  <si>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</si>
  <si>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</si>
  <si>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</si>
  <si>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</si>
  <si>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</si>
  <si>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</si>
  <si>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</si>
  <si>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</si>
  <si>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</si>
  <si>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</si>
  <si>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</si>
  <si>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</si>
  <si>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</si>
  <si>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</si>
  <si>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</si>
  <si>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</si>
  <si>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</si>
  <si>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</si>
  <si>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</si>
  <si>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</si>
  <si>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</si>
  <si>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</si>
  <si>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</si>
  <si>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</si>
  <si>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</si>
  <si>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</si>
  <si>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</si>
  <si>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</si>
  <si>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</si>
  <si>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</si>
  <si>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</si>
  <si>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</si>
  <si>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</si>
  <si>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</si>
  <si>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</si>
  <si>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</si>
  <si>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</si>
  <si>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</si>
  <si>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</si>
  <si>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</si>
  <si>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</si>
  <si>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</si>
  <si>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</si>
  <si>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</si>
  <si>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</si>
  <si>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</si>
  <si>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</si>
  <si>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</si>
  <si>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</si>
  <si>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</si>
  <si>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</si>
  <si>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</si>
  <si>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</si>
  <si>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</si>
  <si>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</si>
  <si>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</si>
  <si>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</si>
  <si>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</si>
  <si>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</si>
  <si>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</si>
  <si>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</si>
  <si>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</si>
  <si>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</si>
  <si>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</si>
  <si>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</si>
  <si>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</si>
  <si>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</si>
  <si>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</si>
  <si>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</si>
  <si>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</si>
  <si>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</si>
  <si>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</si>
  <si>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</si>
  <si>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</si>
  <si>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</si>
  <si>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</si>
  <si>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</si>
  <si>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</si>
  <si>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</si>
  <si>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</si>
  <si>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</si>
  <si>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</si>
  <si>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</si>
  <si>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</si>
  <si>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</si>
  <si>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</si>
  <si>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</si>
  <si>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</si>
  <si>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</si>
  <si>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</si>
  <si>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</si>
  <si>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</si>
  <si>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</si>
  <si>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</si>
  <si>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</si>
  <si>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</si>
  <si>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</si>
  <si>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</si>
  <si>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</si>
  <si>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</si>
  <si>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</si>
  <si>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</si>
  <si>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</si>
  <si>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</si>
  <si>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</si>
  <si>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</si>
  <si>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</si>
  <si>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</si>
  <si>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</si>
  <si>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</si>
  <si>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</si>
  <si>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</si>
  <si>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</si>
  <si>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</si>
  <si>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</si>
  <si>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</si>
  <si>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</si>
  <si>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</si>
  <si>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</si>
  <si>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</si>
  <si>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</si>
  <si>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</si>
  <si>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</si>
  <si>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</si>
  <si>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</si>
  <si>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</si>
  <si>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</si>
  <si>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</si>
  <si>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</si>
  <si>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</si>
  <si>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</si>
  <si>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</si>
  <si>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</si>
  <si>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</si>
  <si>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</si>
  <si>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</si>
  <si>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</si>
  <si>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</si>
  <si>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</si>
  <si>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</si>
  <si>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</si>
  <si>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</si>
  <si>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</si>
  <si>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</si>
  <si>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</si>
  <si>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</si>
  <si>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</si>
  <si>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</si>
  <si>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</si>
  <si>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</si>
  <si>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</si>
  <si>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</si>
  <si>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</si>
  <si>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</si>
  <si>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</si>
  <si>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</si>
  <si>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</si>
  <si>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</si>
  <si>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</si>
  <si>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</si>
  <si>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</si>
  <si>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</si>
  <si>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</si>
  <si>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</si>
  <si>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</si>
  <si>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</si>
  <si>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</si>
  <si>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</si>
  <si>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</si>
  <si>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</si>
  <si>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</si>
  <si>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</si>
  <si>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</si>
  <si>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</si>
  <si>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</si>
  <si>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</si>
  <si>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</si>
  <si>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</si>
  <si>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</si>
  <si>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</si>
  <si>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</si>
  <si>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</si>
  <si>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</si>
  <si>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</si>
  <si>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</si>
  <si>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</si>
  <si>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</si>
  <si>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</si>
  <si>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</si>
  <si>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</si>
  <si>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</si>
  <si>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</si>
  <si>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</si>
  <si>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</si>
  <si>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</si>
  <si>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</si>
  <si>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</si>
  <si>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</si>
  <si>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</si>
  <si>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</si>
  <si>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</si>
  <si>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</si>
  <si>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</si>
  <si>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</si>
  <si>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</si>
  <si>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</si>
  <si>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</si>
  <si>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</si>
  <si>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</si>
  <si>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</si>
  <si>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</si>
  <si>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</si>
  <si>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</si>
  <si>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</si>
  <si>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</si>
  <si>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</si>
  <si>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</si>
  <si>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</si>
  <si>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</si>
  <si>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</si>
  <si>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</si>
  <si>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</si>
  <si>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</si>
  <si>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</si>
  <si>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</si>
  <si>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</si>
  <si>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</si>
  <si>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</si>
  <si>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</si>
  <si>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</si>
  <si>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</si>
  <si>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</si>
  <si>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</si>
  <si>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</si>
  <si>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</si>
  <si>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</si>
  <si>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</si>
  <si>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</si>
  <si>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</si>
  <si>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</si>
  <si>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</si>
  <si>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</si>
  <si>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</si>
  <si>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</si>
  <si>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</si>
  <si>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</si>
  <si>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</si>
  <si>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</si>
  <si>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</si>
  <si>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</si>
  <si>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</si>
  <si>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</si>
  <si>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</si>
  <si>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</si>
  <si>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</si>
  <si>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</si>
  <si>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</si>
  <si>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</si>
  <si>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</si>
  <si>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</si>
  <si>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</si>
  <si>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</si>
  <si>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</si>
  <si>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</si>
  <si>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</si>
  <si>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</si>
  <si>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</si>
  <si>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</si>
  <si>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</si>
  <si>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</si>
  <si>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</si>
  <si>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</si>
  <si>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</si>
  <si>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</si>
  <si>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</si>
  <si>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</si>
  <si>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</si>
  <si>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</si>
  <si>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</si>
  <si>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</si>
  <si>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</si>
  <si>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</si>
  <si>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</si>
  <si>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</si>
  <si>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</si>
  <si>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</si>
  <si>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</si>
  <si>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</si>
  <si>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</si>
  <si>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</si>
  <si>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</si>
  <si>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</si>
  <si>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</si>
  <si>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</si>
  <si>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</si>
  <si>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</si>
  <si>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</si>
  <si>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</si>
  <si>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</si>
  <si>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</si>
  <si>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</si>
  <si>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</si>
  <si>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</si>
  <si>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</si>
  <si>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</si>
  <si>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</si>
  <si>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</si>
  <si>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</si>
  <si>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</si>
  <si>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</si>
  <si>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</si>
  <si>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</si>
  <si>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</si>
  <si>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</si>
  <si>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</si>
  <si>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</si>
  <si>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</si>
  <si>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</si>
  <si>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</si>
  <si>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</si>
  <si>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</si>
  <si>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</si>
  <si>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</si>
  <si>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</si>
  <si>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</si>
  <si>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</si>
  <si>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</si>
  <si>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</si>
  <si>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</si>
  <si>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</si>
  <si>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</si>
  <si>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</si>
  <si>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</si>
  <si>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</si>
  <si>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</si>
  <si>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</si>
  <si>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</si>
  <si>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</si>
  <si>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</si>
  <si>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</si>
  <si>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</si>
  <si>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</si>
  <si>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</si>
  <si>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</si>
  <si>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</si>
  <si>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</si>
  <si>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</si>
  <si>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</si>
  <si>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</si>
  <si>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</si>
  <si>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</si>
  <si>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</si>
  <si>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</si>
  <si>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</si>
  <si>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</si>
  <si>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</si>
  <si>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</si>
  <si>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</si>
  <si>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</si>
  <si>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</si>
  <si>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</si>
  <si>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</si>
  <si>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</si>
  <si>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</si>
  <si>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</si>
  <si>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</si>
  <si>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</si>
  <si>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</si>
  <si>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</si>
  <si>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</si>
  <si>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</si>
  <si>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</si>
  <si>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</si>
  <si>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</si>
  <si>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</si>
  <si>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</si>
  <si>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</si>
  <si>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</si>
  <si>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</si>
  <si>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</si>
  <si>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</si>
  <si>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</si>
  <si>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</si>
  <si>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</si>
  <si>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</si>
  <si>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</si>
  <si>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</si>
  <si>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</si>
  <si>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</si>
  <si>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</si>
  <si>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</si>
  <si>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</si>
  <si>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</si>
  <si>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</si>
  <si>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</si>
  <si>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</si>
  <si>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</si>
  <si>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</si>
  <si>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</si>
  <si>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</si>
  <si>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</si>
  <si>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</si>
  <si>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</si>
  <si>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</si>
  <si>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</si>
  <si>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</si>
  <si>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</si>
  <si>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</si>
  <si>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</si>
  <si>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</si>
  <si>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</si>
  <si>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</si>
  <si>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</si>
  <si>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</si>
  <si>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</si>
  <si>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</si>
  <si>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</si>
  <si>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</si>
  <si>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</si>
  <si>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</si>
  <si>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</si>
  <si>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</si>
  <si>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</si>
  <si>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</si>
  <si>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</si>
  <si>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</si>
  <si>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</si>
  <si>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</si>
  <si>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</si>
  <si>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</si>
  <si>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</si>
  <si>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</si>
  <si>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</si>
  <si>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</si>
  <si>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</si>
  <si>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</si>
  <si>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</si>
  <si>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</si>
  <si>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</si>
  <si>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</si>
  <si>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</si>
  <si>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</si>
  <si>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</si>
  <si>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</si>
  <si>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</si>
  <si>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</si>
  <si>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</si>
  <si>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</si>
  <si>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</si>
  <si>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</si>
  <si>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</si>
  <si>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</si>
  <si>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</si>
  <si>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</si>
  <si>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</si>
  <si>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</si>
  <si>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</si>
  <si>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</si>
  <si>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</si>
  <si>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</si>
  <si>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</si>
  <si>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</si>
  <si>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</si>
  <si>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</si>
  <si>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</si>
  <si>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</si>
  <si>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</si>
  <si>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</si>
  <si>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</si>
  <si>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</si>
  <si>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</si>
  <si>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</si>
  <si>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</si>
  <si>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</si>
  <si>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</si>
  <si>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</si>
  <si>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</si>
  <si>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</si>
  <si>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</si>
  <si>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</si>
  <si>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</si>
  <si>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</si>
  <si>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</si>
  <si>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</si>
  <si>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</si>
  <si>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</si>
  <si>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</si>
  <si>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</si>
  <si>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</si>
  <si>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</si>
  <si>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</si>
  <si>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</si>
  <si>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</si>
  <si>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</si>
  <si>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</si>
  <si>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</si>
  <si>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</si>
  <si>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</si>
  <si>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</si>
  <si>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</si>
  <si>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</si>
  <si>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</si>
  <si>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</si>
  <si>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</si>
  <si>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</si>
  <si>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</si>
  <si>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</si>
  <si>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</si>
  <si>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</si>
  <si>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</si>
  <si>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</si>
  <si>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</si>
  <si>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</si>
  <si>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</si>
  <si>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</si>
  <si>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</si>
  <si>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</si>
  <si>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</si>
  <si>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</si>
  <si>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</si>
  <si>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</si>
  <si>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</si>
  <si>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</si>
  <si>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</si>
  <si>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</si>
  <si>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</si>
  <si>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</si>
  <si>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</si>
  <si>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</si>
  <si>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</si>
  <si>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</si>
  <si>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</si>
  <si>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</si>
  <si>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</si>
  <si>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</si>
  <si>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</si>
  <si>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</si>
  <si>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</si>
  <si>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</si>
  <si>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</si>
  <si>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</si>
  <si>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</si>
  <si>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</si>
  <si>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</si>
  <si>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</si>
  <si>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</si>
  <si>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</si>
  <si>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</si>
  <si>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</si>
  <si>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</si>
  <si>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</si>
  <si>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</si>
  <si>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</si>
  <si>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</si>
  <si>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</si>
  <si>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</si>
  <si>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</si>
  <si>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</si>
  <si>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</si>
  <si>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</si>
  <si>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</si>
  <si>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</si>
  <si>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</si>
  <si>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</si>
  <si>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</si>
  <si>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</si>
  <si>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</si>
  <si>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</si>
  <si>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</si>
  <si>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</si>
  <si>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</si>
  <si>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</si>
  <si>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</si>
  <si>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</si>
  <si>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</si>
  <si>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</si>
  <si>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</si>
  <si>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</si>
  <si>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</si>
  <si>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</si>
  <si>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</si>
  <si>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</si>
  <si>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</si>
  <si>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</si>
  <si>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</si>
  <si>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</si>
  <si>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</si>
  <si>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</si>
  <si>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</si>
  <si>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</si>
  <si>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</si>
  <si>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</si>
  <si>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</si>
  <si>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</si>
  <si>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</si>
  <si>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</si>
  <si>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</si>
  <si>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</si>
  <si>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</si>
  <si>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</si>
  <si>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</si>
  <si>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</si>
  <si>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</si>
  <si>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</si>
  <si>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</si>
  <si>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</si>
  <si>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</si>
  <si>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</si>
  <si>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</si>
  <si>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</si>
  <si>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</si>
  <si>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</si>
  <si>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</si>
  <si>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</si>
  <si>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</si>
  <si>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</si>
  <si>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</si>
  <si>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</si>
  <si>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</si>
  <si>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</si>
  <si>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</si>
  <si>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</si>
  <si>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</si>
  <si>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</si>
  <si>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</si>
  <si>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</si>
  <si>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</si>
  <si>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</si>
  <si>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</si>
  <si>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</si>
  <si>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</si>
  <si>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</si>
  <si>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</si>
  <si>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</si>
  <si>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</si>
  <si>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</si>
  <si>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</si>
  <si>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</si>
  <si>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</si>
  <si>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</si>
  <si>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</si>
  <si>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</si>
  <si>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</si>
  <si>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</si>
  <si>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</si>
  <si>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</si>
  <si>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</si>
  <si>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</si>
  <si>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</si>
  <si>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</si>
  <si>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</si>
  <si>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</si>
  <si>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</si>
  <si>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</si>
  <si>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</si>
  <si>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</si>
  <si>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</si>
  <si>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</si>
  <si>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</si>
  <si>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</si>
  <si>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</si>
  <si>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</si>
  <si>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</si>
  <si>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</si>
  <si>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</si>
  <si>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</si>
  <si>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</si>
  <si>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</si>
  <si>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</si>
  <si>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</si>
  <si>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</si>
  <si>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</si>
  <si>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</si>
  <si>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</si>
  <si>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</si>
  <si>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</si>
  <si>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</si>
  <si>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</si>
  <si>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</si>
  <si>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</si>
  <si>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</si>
  <si>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</si>
  <si>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</si>
  <si>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</si>
  <si>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</si>
  <si>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</si>
  <si>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</si>
  <si>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</si>
  <si>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</si>
  <si>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</si>
  <si>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</si>
  <si>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</si>
  <si>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</si>
  <si>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</si>
  <si>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</si>
  <si>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</si>
  <si>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</si>
  <si>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</si>
  <si>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</si>
  <si>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</si>
  <si>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</si>
  <si>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</si>
  <si>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</si>
  <si>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</si>
  <si>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</si>
  <si>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</si>
  <si>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</si>
  <si>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</si>
  <si>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</si>
  <si>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</si>
  <si>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</si>
  <si>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</si>
  <si>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</si>
  <si>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</si>
  <si>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</si>
  <si>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</si>
  <si>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</si>
  <si>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</si>
  <si>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</si>
  <si>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</si>
  <si>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</si>
  <si>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</si>
  <si>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</si>
  <si>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</si>
  <si>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</si>
  <si>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</si>
  <si>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</si>
  <si>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</si>
  <si>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</si>
  <si>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</si>
  <si>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</si>
  <si>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</si>
  <si>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</si>
  <si>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</si>
  <si>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</si>
  <si>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</si>
  <si>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</si>
  <si>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</si>
  <si>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</si>
  <si>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</si>
  <si>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</si>
  <si>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</si>
  <si>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</si>
  <si>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</si>
  <si>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</si>
  <si>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</si>
  <si>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</si>
  <si>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</si>
  <si>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</si>
  <si>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</si>
  <si>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</si>
  <si>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</si>
  <si>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</si>
  <si>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</si>
  <si>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</si>
  <si>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</si>
  <si>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</si>
  <si>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</si>
  <si>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</si>
  <si>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</si>
  <si>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</si>
  <si>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</si>
  <si>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</si>
  <si>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</si>
  <si>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</si>
  <si>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</si>
  <si>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</si>
  <si>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</si>
  <si>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</si>
  <si>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</si>
  <si>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</si>
  <si>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</si>
  <si>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</si>
  <si>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</si>
  <si>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</si>
  <si>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</si>
  <si>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</si>
  <si>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</si>
  <si>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</si>
  <si>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</si>
  <si>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</si>
  <si>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</si>
  <si>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</si>
  <si>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</si>
  <si>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</si>
  <si>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</si>
  <si>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</si>
  <si>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</si>
  <si>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</si>
  <si>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</si>
  <si>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</si>
  <si>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</si>
  <si>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</si>
  <si>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</si>
  <si>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</si>
  <si>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</si>
  <si>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</si>
  <si>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</si>
  <si>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</si>
  <si>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</si>
  <si>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</si>
  <si>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</si>
  <si>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</si>
  <si>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</si>
  <si>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</si>
  <si>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</si>
  <si>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</si>
  <si>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</si>
  <si>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</si>
  <si>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</si>
  <si>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</si>
  <si>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</si>
  <si>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</si>
  <si>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</si>
  <si>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</si>
  <si>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</si>
  <si>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</si>
  <si>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</si>
  <si>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</si>
  <si>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</si>
  <si>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</si>
  <si>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</si>
  <si>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</si>
  <si>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</si>
  <si>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</si>
  <si>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</si>
  <si>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</si>
  <si>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</si>
  <si>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</si>
  <si>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</si>
  <si>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</si>
  <si>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</si>
  <si>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</si>
  <si>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</si>
  <si>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</si>
  <si>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</si>
  <si>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</si>
  <si>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</si>
  <si>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</si>
  <si>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</si>
  <si>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</si>
  <si>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</si>
  <si>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</si>
  <si>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</si>
  <si>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</si>
  <si>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</si>
  <si>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</si>
  <si>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</si>
  <si>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</si>
  <si>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</si>
  <si>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</si>
  <si>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</si>
  <si>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</si>
  <si>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</si>
  <si>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</si>
  <si>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</si>
  <si>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</si>
  <si>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</si>
  <si>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</si>
  <si>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</si>
  <si>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</si>
  <si>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</si>
  <si>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</si>
  <si>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</si>
  <si>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</si>
  <si>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</si>
  <si>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</si>
  <si>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</si>
  <si>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</si>
  <si>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</si>
  <si>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</si>
  <si>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</si>
  <si>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</si>
  <si>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</si>
  <si>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</si>
  <si>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</si>
  <si>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</si>
  <si>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</si>
  <si>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</si>
  <si>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</si>
  <si>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</si>
  <si>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</si>
  <si>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</si>
  <si>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</si>
  <si>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</si>
  <si>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</si>
  <si>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</si>
  <si>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</si>
  <si>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</si>
  <si>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</si>
  <si>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</si>
  <si>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</si>
  <si>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</si>
  <si>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</si>
  <si>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</si>
  <si>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</si>
  <si>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</si>
  <si>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</si>
  <si>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</si>
  <si>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</si>
  <si>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</si>
  <si>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</si>
  <si>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</si>
  <si>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</si>
  <si>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</si>
  <si>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</si>
  <si>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</si>
  <si>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</si>
  <si>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</si>
  <si>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</si>
  <si>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</si>
  <si>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</si>
  <si>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</si>
  <si>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</si>
  <si>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</si>
  <si>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</si>
  <si>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</si>
  <si>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</si>
  <si>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</si>
  <si>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</si>
  <si>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</si>
  <si>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</si>
  <si>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</si>
  <si>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</si>
  <si>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</si>
  <si>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</si>
  <si>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</si>
  <si>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</si>
  <si>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</si>
  <si>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</si>
  <si>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</si>
  <si>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</si>
  <si>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</si>
  <si>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</si>
  <si>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</si>
  <si>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</si>
  <si>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</si>
  <si>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</si>
  <si>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</si>
  <si>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</si>
  <si>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</si>
  <si>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</si>
  <si>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</si>
  <si>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</si>
  <si>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</si>
  <si>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</si>
  <si>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</si>
  <si>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</si>
  <si>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</si>
  <si>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</si>
  <si>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</si>
  <si>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</si>
  <si>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</si>
  <si>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</si>
  <si>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</si>
  <si>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</si>
  <si>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</si>
  <si>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</si>
  <si>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</si>
  <si>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</si>
  <si>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</si>
  <si>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</si>
  <si>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</si>
  <si>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</si>
  <si>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</si>
  <si>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</si>
  <si>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</si>
  <si>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</si>
  <si>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</si>
  <si>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</si>
  <si>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</si>
  <si>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</si>
  <si>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</si>
  <si>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</si>
  <si>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</si>
  <si>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</si>
  <si>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</si>
  <si>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</si>
  <si>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</si>
  <si>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</si>
  <si>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</si>
  <si>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</si>
  <si>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</si>
  <si>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</si>
  <si>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</si>
  <si>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</si>
  <si>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</si>
  <si>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</si>
  <si>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</si>
  <si>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</si>
  <si>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</si>
  <si>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</si>
  <si>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</si>
  <si>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</si>
  <si>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</si>
  <si>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</si>
  <si>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</si>
  <si>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</si>
  <si>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</si>
  <si>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</si>
  <si>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</si>
  <si>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</si>
  <si>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</si>
  <si>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</si>
  <si>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</si>
  <si>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</si>
  <si>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</si>
  <si>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</si>
  <si>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</si>
  <si>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</si>
  <si>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</si>
  <si>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</si>
  <si>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</si>
  <si>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</si>
  <si>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</si>
  <si>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</si>
  <si>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</si>
  <si>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</si>
  <si>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</si>
  <si>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</si>
  <si>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</si>
  <si>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</si>
  <si>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</si>
  <si>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</si>
  <si>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</si>
  <si>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</si>
  <si>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</si>
  <si>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</si>
  <si>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</si>
  <si>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</si>
  <si>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</si>
  <si>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</si>
  <si>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</si>
  <si>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</si>
  <si>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</si>
  <si>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</si>
  <si>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</si>
  <si>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</si>
  <si>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</si>
  <si>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</si>
  <si>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</si>
  <si>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</si>
  <si>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</si>
  <si>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</si>
  <si>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</si>
  <si>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</si>
  <si>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</si>
  <si>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</si>
  <si>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</si>
  <si>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</si>
  <si>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</si>
  <si>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</si>
  <si>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</si>
  <si>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</si>
  <si>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</si>
  <si>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</si>
  <si>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</si>
  <si>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</si>
  <si>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</si>
  <si>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</si>
  <si>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</si>
  <si>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</si>
  <si>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</si>
  <si>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</si>
  <si>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</si>
  <si>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</si>
  <si>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</si>
  <si>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</si>
  <si>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</si>
  <si>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</si>
  <si>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</si>
  <si>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</si>
  <si>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</si>
  <si>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</si>
  <si>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</si>
  <si>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</si>
  <si>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</si>
  <si>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</si>
  <si>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</si>
  <si>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</si>
  <si>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</si>
  <si>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</si>
  <si>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</si>
  <si>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</si>
  <si>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</si>
  <si>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</si>
  <si>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</si>
  <si>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</si>
  <si>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</si>
  <si>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</si>
  <si>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</si>
  <si>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</si>
  <si>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</si>
  <si>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</si>
  <si>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</si>
  <si>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</si>
  <si>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</si>
  <si>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</si>
  <si>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</si>
  <si>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</si>
  <si>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</si>
  <si>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</si>
  <si>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</si>
  <si>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</si>
  <si>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</si>
  <si>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</si>
  <si>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</si>
  <si>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</si>
  <si>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</si>
  <si>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</si>
  <si>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</si>
  <si>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</si>
  <si>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</si>
  <si>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</si>
  <si>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</si>
  <si>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</si>
  <si>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</si>
  <si>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</si>
  <si>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</si>
  <si>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</si>
  <si>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</si>
  <si>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</si>
  <si>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</si>
  <si>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</si>
  <si>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</si>
  <si>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</si>
  <si>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</si>
  <si>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</si>
  <si>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</si>
  <si>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</si>
  <si>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</si>
  <si>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</si>
  <si>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</si>
  <si>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</si>
  <si>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</si>
  <si>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</si>
  <si>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</si>
  <si>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</si>
  <si>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</si>
  <si>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</si>
  <si>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</si>
  <si>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</si>
  <si>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</si>
  <si>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</si>
  <si>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</si>
  <si>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</si>
  <si>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</si>
  <si>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</si>
  <si>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</si>
  <si>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</si>
  <si>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</si>
  <si>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</si>
  <si>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</si>
  <si>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</si>
  <si>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</si>
  <si>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</si>
  <si>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</si>
  <si>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</si>
  <si>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</si>
  <si>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</si>
  <si>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</si>
  <si>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</si>
  <si>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</si>
  <si>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</si>
  <si>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</si>
  <si>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</si>
  <si>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</si>
  <si>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</si>
  <si>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</si>
  <si>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</si>
  <si>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</si>
  <si>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</si>
  <si>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</si>
  <si>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</si>
  <si>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</si>
  <si>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</si>
  <si>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</si>
  <si>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</si>
  <si>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</si>
  <si>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</si>
  <si>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</si>
  <si>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</si>
  <si>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</si>
  <si>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</si>
  <si>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</si>
  <si>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</si>
  <si>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</si>
  <si>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</si>
  <si>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</si>
  <si>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</si>
  <si>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</si>
  <si>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</si>
  <si>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</si>
  <si>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</si>
  <si>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</si>
  <si>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</si>
  <si>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</si>
  <si>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</si>
  <si>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</si>
  <si>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</si>
  <si>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</si>
  <si>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</si>
  <si>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</si>
  <si>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</si>
  <si>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</si>
  <si>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</si>
  <si>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</si>
  <si>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</si>
  <si>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</si>
  <si>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</si>
  <si>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</si>
  <si>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</si>
  <si>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</si>
  <si>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</si>
  <si>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</si>
  <si>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</si>
  <si>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</si>
  <si>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</si>
  <si>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</si>
  <si>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</si>
  <si>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</si>
  <si>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</si>
  <si>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</si>
  <si>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</si>
  <si>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</si>
  <si>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</si>
  <si>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</si>
  <si>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</si>
  <si>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</si>
  <si>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</si>
  <si>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</si>
  <si>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</si>
  <si>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</si>
  <si>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</si>
  <si>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</si>
  <si>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</si>
  <si>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</si>
  <si>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</si>
  <si>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</si>
  <si>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</si>
  <si>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</si>
  <si>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</si>
  <si>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</si>
  <si>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</si>
  <si>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</si>
  <si>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</si>
  <si>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</si>
  <si>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</si>
  <si>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</si>
  <si>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</si>
  <si>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</si>
  <si>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</si>
  <si>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</si>
  <si>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</si>
  <si>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</si>
  <si>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</si>
  <si>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</si>
  <si>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</si>
  <si>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</si>
  <si>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</si>
  <si>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</si>
  <si>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</si>
  <si>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</si>
  <si>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</si>
  <si>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</si>
  <si>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</si>
  <si>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</si>
  <si>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</si>
  <si>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</si>
  <si>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</si>
  <si>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</si>
  <si>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</si>
  <si>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</si>
  <si>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</si>
  <si>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</si>
  <si>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</si>
  <si>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</si>
  <si>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</si>
  <si>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</si>
  <si>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</si>
  <si>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</si>
  <si>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</si>
  <si>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</si>
  <si>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</si>
  <si>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</si>
  <si>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</si>
  <si>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</si>
  <si>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</si>
  <si>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</si>
  <si>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</si>
  <si>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</si>
  <si>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</si>
  <si>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</si>
  <si>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</si>
  <si>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</si>
  <si>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</si>
  <si>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</si>
  <si>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</si>
  <si>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</si>
  <si>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</si>
  <si>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</si>
  <si>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</si>
  <si>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</si>
  <si>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</si>
  <si>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</si>
  <si>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</si>
  <si>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</si>
  <si>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</si>
  <si>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</si>
  <si>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</si>
  <si>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</si>
  <si>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</si>
  <si>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</si>
  <si>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</si>
  <si>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</si>
  <si>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</si>
  <si>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</si>
  <si>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</si>
  <si>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</si>
  <si>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</si>
  <si>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</si>
  <si>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</si>
  <si>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</si>
  <si>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</si>
  <si>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</si>
  <si>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</si>
  <si>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</si>
  <si>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</si>
  <si>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</si>
  <si>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</si>
  <si>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</si>
  <si>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</si>
  <si>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</si>
  <si>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</si>
  <si>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</si>
  <si>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</si>
  <si>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</si>
  <si>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</si>
  <si>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</si>
  <si>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</si>
  <si>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</si>
  <si>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</si>
  <si>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</si>
  <si>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</si>
  <si>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</si>
  <si>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</si>
  <si>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</si>
  <si>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</si>
  <si>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</si>
  <si>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</si>
  <si>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</si>
  <si>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</si>
  <si>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</si>
  <si>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</si>
  <si>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</si>
  <si>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</si>
  <si>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</si>
  <si>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</si>
  <si>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</si>
  <si>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</si>
  <si>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</si>
  <si>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</si>
  <si>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</si>
  <si>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</si>
  <si>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</si>
  <si>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</si>
  <si>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</si>
  <si>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</si>
  <si>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</si>
  <si>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</si>
  <si>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</si>
  <si>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</si>
  <si>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</si>
  <si>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</si>
  <si>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</si>
  <si>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</si>
  <si>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</si>
  <si>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</si>
  <si>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</si>
  <si>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</si>
  <si>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</si>
  <si>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</si>
  <si>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</si>
  <si>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</si>
  <si>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</si>
  <si>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</si>
  <si>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</si>
  <si>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</si>
  <si>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</si>
  <si>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</si>
  <si>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</si>
  <si>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</si>
  <si>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</si>
  <si>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</si>
  <si>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</si>
  <si>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</si>
  <si>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</si>
  <si>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</si>
  <si>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</si>
  <si>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</si>
  <si>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</si>
  <si>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</si>
  <si>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</si>
  <si>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</si>
  <si>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</si>
  <si>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</si>
  <si>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</si>
  <si>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</si>
  <si>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</si>
  <si>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</si>
  <si>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</si>
  <si>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</si>
  <si>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</si>
  <si>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</si>
  <si>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</si>
  <si>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</si>
  <si>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</si>
  <si>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</si>
  <si>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</si>
  <si>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</si>
  <si>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</si>
  <si>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</si>
  <si>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</si>
  <si>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</si>
  <si>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</si>
  <si>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</si>
  <si>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</si>
  <si>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</si>
  <si>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</si>
  <si>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</si>
  <si>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</si>
  <si>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</si>
  <si>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</si>
  <si>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</si>
  <si>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</si>
  <si>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</si>
  <si>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</si>
  <si>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</si>
  <si>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</si>
  <si>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</si>
  <si>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</si>
  <si>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</si>
  <si>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</si>
  <si>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</si>
  <si>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</si>
  <si>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</si>
  <si>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</si>
  <si>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</si>
  <si>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</si>
  <si>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</si>
  <si>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</si>
  <si>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</si>
  <si>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</si>
  <si>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</si>
  <si>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</si>
  <si>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</si>
  <si>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</si>
  <si>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</si>
  <si>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</si>
  <si>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</si>
  <si>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</si>
  <si>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</si>
  <si>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</si>
  <si>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</si>
  <si>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</si>
  <si>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</si>
  <si>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</si>
  <si>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</si>
  <si>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</si>
  <si>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</si>
  <si>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</si>
  <si>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</si>
  <si>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</si>
  <si>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</si>
  <si>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</si>
  <si>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</si>
  <si>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</si>
  <si>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</si>
  <si>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</si>
  <si>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</si>
  <si>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</si>
  <si>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</si>
  <si>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</si>
  <si>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</si>
  <si>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</si>
  <si>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</si>
  <si>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</si>
  <si>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</si>
  <si>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</si>
  <si>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</si>
  <si>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</si>
  <si>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</si>
  <si>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</si>
  <si>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</si>
  <si>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</si>
  <si>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</si>
  <si>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</si>
  <si>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</si>
  <si>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</si>
  <si>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</si>
  <si>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</si>
  <si>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</si>
  <si>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</si>
  <si>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</si>
  <si>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</si>
  <si>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</si>
  <si>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</si>
  <si>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</si>
  <si>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</si>
  <si>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</si>
  <si>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</si>
  <si>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</si>
  <si>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</si>
  <si>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</si>
  <si>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</si>
  <si>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</si>
  <si>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</si>
  <si>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</si>
  <si>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</si>
  <si>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</si>
  <si>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</si>
  <si>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</si>
  <si>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</si>
  <si>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</si>
  <si>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</si>
  <si>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</si>
  <si>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</si>
  <si>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</si>
  <si>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</si>
  <si>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</si>
  <si>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</si>
  <si>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</si>
  <si>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</si>
  <si>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</si>
  <si>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</si>
  <si>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</si>
  <si>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</si>
  <si>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</si>
  <si>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</si>
  <si>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</si>
  <si>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</si>
  <si>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</si>
  <si>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</si>
  <si>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</si>
  <si>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</si>
  <si>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</si>
  <si>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</si>
  <si>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</si>
  <si>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</si>
  <si>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</si>
  <si>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</si>
  <si>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</si>
  <si>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</si>
  <si>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</si>
  <si>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</si>
  <si>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</si>
  <si>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</si>
  <si>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</si>
  <si>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</si>
  <si>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</si>
  <si>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</si>
  <si>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</si>
  <si>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</si>
  <si>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</si>
  <si>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</si>
  <si>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</si>
  <si>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</si>
  <si>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</si>
  <si>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</si>
  <si>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</si>
  <si>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</si>
  <si>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</si>
  <si>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</si>
  <si>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</si>
  <si>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</si>
  <si>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</si>
  <si>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</si>
  <si>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</si>
  <si>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</si>
  <si>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</si>
  <si>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</si>
  <si>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</si>
  <si>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</si>
  <si>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</si>
  <si>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</si>
  <si>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</si>
  <si>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</si>
  <si>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</si>
  <si>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</si>
  <si>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</si>
  <si>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</si>
  <si>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</si>
  <si>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</si>
  <si>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</si>
  <si>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</si>
  <si>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</si>
  <si>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</si>
  <si>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</si>
  <si>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</si>
  <si>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</si>
  <si>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</si>
  <si>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</si>
  <si>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</si>
  <si>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</si>
  <si>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</si>
  <si>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</si>
  <si>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</si>
  <si>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</si>
  <si>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</si>
  <si>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</si>
  <si>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</si>
  <si>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</si>
  <si>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</si>
  <si>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</si>
  <si>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</si>
  <si>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</si>
  <si>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</si>
  <si>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</si>
  <si>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</si>
  <si>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</si>
  <si>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</si>
  <si>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</si>
  <si>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</si>
  <si>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</si>
  <si>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</si>
  <si>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</si>
  <si>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</si>
  <si>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</si>
  <si>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</si>
  <si>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</si>
  <si>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</si>
  <si>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</si>
  <si>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</si>
  <si>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</si>
  <si>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</si>
  <si>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</si>
  <si>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</si>
  <si>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</si>
  <si>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</si>
  <si>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</si>
  <si>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</si>
  <si>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</si>
  <si>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</si>
  <si>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</si>
  <si>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</si>
  <si>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</si>
  <si>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</si>
  <si>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</si>
  <si>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</si>
  <si>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</si>
  <si>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</si>
  <si>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</si>
  <si>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</si>
  <si>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</si>
  <si>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</si>
  <si>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</si>
  <si>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</si>
  <si>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</si>
  <si>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</si>
  <si>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</si>
  <si>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</si>
  <si>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</si>
  <si>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</si>
  <si>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</si>
  <si>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</si>
  <si>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</si>
  <si>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</si>
  <si>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</si>
  <si>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</si>
  <si>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</si>
  <si>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</si>
  <si>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</si>
  <si>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</si>
  <si>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</si>
  <si>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</si>
  <si>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</si>
  <si>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</si>
  <si>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</si>
  <si>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</si>
  <si>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</si>
  <si>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</si>
  <si>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</si>
  <si>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</si>
  <si>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</si>
  <si>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</si>
  <si>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</si>
  <si>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</si>
  <si>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</si>
  <si>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</si>
  <si>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</si>
  <si>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</si>
  <si>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</si>
  <si>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</si>
  <si>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</si>
  <si>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</si>
  <si>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</si>
  <si>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</si>
  <si>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</si>
  <si>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</si>
  <si>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</si>
  <si>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</si>
  <si>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</si>
  <si>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</si>
  <si>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</si>
  <si>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</si>
  <si>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</si>
  <si>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</si>
  <si>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</si>
  <si>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</si>
  <si>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</si>
  <si>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</si>
  <si>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</si>
  <si>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</si>
  <si>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</si>
  <si>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</si>
  <si>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</si>
  <si>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</si>
  <si>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</si>
  <si>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</si>
  <si>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</si>
  <si>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</si>
  <si>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</si>
  <si>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</si>
  <si>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</si>
  <si>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</si>
  <si>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</si>
  <si>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</si>
  <si>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</si>
  <si>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</si>
  <si>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</si>
  <si>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</si>
  <si>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</si>
  <si>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</si>
  <si>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</si>
  <si>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</si>
  <si>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</si>
  <si>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</si>
  <si>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</si>
  <si>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</si>
  <si>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</si>
  <si>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</si>
  <si>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</si>
  <si>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</si>
  <si>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</si>
  <si>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</si>
  <si>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</si>
  <si>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</si>
  <si>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</si>
  <si>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</si>
  <si>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</si>
  <si>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</si>
  <si>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</si>
  <si>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</si>
  <si>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</si>
  <si>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</si>
  <si>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</si>
  <si>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</si>
  <si>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</si>
  <si>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</si>
  <si>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</si>
  <si>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</si>
  <si>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</si>
  <si>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</si>
  <si>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</si>
  <si>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</si>
  <si>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</si>
  <si>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</si>
  <si>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</si>
  <si>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</si>
  <si>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</si>
  <si>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</si>
  <si>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</si>
  <si>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</si>
  <si>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</si>
  <si>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</si>
  <si>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</si>
  <si>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</si>
  <si>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</si>
  <si>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</si>
  <si>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</si>
  <si>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</si>
  <si>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</si>
  <si>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</si>
  <si>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</si>
  <si>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</si>
  <si>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</si>
  <si>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</si>
  <si>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</si>
  <si>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</si>
  <si>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</si>
  <si>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</si>
  <si>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</si>
  <si>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</si>
  <si>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</si>
  <si>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</si>
  <si>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</si>
  <si>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</si>
  <si>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</si>
  <si>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</si>
  <si>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</si>
  <si>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</si>
  <si>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</si>
  <si>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</si>
  <si>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</si>
  <si>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</si>
  <si>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</si>
  <si>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</si>
  <si>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</si>
  <si>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</si>
  <si>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</si>
  <si>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</si>
  <si>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</si>
  <si>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</si>
  <si>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</si>
  <si>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</si>
  <si>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</si>
  <si>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</si>
  <si>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</si>
  <si>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</si>
  <si>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</si>
  <si>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</si>
  <si>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</si>
  <si>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</si>
  <si>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</si>
  <si>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</si>
  <si>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</si>
  <si>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</si>
  <si>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</si>
  <si>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</si>
  <si>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</si>
  <si>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</si>
  <si>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</si>
  <si>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</si>
  <si>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</si>
  <si>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</si>
  <si>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</si>
  <si>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</si>
  <si>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</si>
  <si>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</si>
  <si>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</si>
  <si>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</si>
  <si>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</si>
  <si>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</si>
  <si>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</si>
  <si>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</si>
  <si>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</si>
  <si>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</si>
  <si>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</si>
  <si>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</si>
  <si>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</si>
  <si>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</si>
  <si>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</si>
  <si>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</si>
  <si>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</si>
  <si>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</si>
  <si>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</si>
  <si>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</si>
  <si>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</si>
  <si>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</si>
  <si>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</si>
  <si>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</si>
  <si>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</si>
  <si>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</si>
  <si>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</si>
  <si>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</si>
  <si>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</si>
  <si>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</si>
  <si>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</si>
  <si>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</si>
  <si>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</si>
  <si>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</si>
  <si>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</si>
  <si>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</si>
  <si>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</si>
  <si>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</si>
  <si>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</si>
  <si>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</si>
  <si>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</si>
  <si>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</si>
  <si>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</si>
  <si>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</si>
  <si>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</si>
  <si>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</si>
  <si>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</si>
  <si>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</si>
  <si>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</si>
  <si>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</si>
  <si>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</si>
  <si>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</si>
  <si>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</si>
  <si>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</si>
  <si>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</si>
  <si>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</si>
  <si>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</si>
  <si>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</si>
  <si>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</si>
  <si>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</si>
  <si>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</si>
  <si>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</si>
  <si>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</si>
  <si>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</si>
  <si>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</si>
  <si>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</si>
  <si>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</si>
  <si>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</si>
  <si>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</si>
  <si>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</si>
  <si>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</si>
  <si>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</si>
  <si>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</si>
  <si>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</si>
  <si>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</si>
  <si>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</si>
  <si>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</si>
  <si>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</si>
  <si>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</si>
  <si>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</si>
  <si>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</si>
  <si>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</si>
  <si>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</si>
  <si>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</si>
  <si>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</si>
  <si>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</si>
  <si>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</si>
  <si>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</si>
  <si>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</si>
  <si>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</si>
  <si>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</si>
  <si>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</si>
  <si>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</si>
  <si>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</si>
  <si>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</si>
  <si>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</si>
  <si>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</si>
  <si>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</si>
  <si>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</si>
  <si>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</si>
  <si>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</si>
  <si>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</si>
  <si>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</si>
  <si>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</si>
  <si>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</si>
  <si>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</si>
  <si>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</si>
  <si>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</si>
  <si>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</si>
  <si>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</si>
  <si>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</si>
  <si>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</si>
  <si>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</si>
  <si>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</si>
  <si>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</si>
  <si>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</si>
  <si>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</si>
  <si>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</si>
  <si>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</si>
  <si>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</si>
  <si>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</si>
  <si>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</si>
  <si>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</si>
  <si>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</si>
  <si>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</si>
  <si>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</si>
  <si>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</si>
  <si>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</si>
  <si>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</si>
  <si>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</si>
  <si>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</si>
  <si>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</si>
  <si>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</si>
  <si>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</si>
  <si>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</si>
  <si>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</si>
  <si>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</si>
  <si>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</si>
  <si>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</si>
  <si>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</si>
  <si>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</si>
  <si>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</si>
  <si>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</si>
  <si>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</si>
  <si>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</si>
  <si>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</si>
  <si>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</si>
  <si>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</si>
  <si>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</si>
  <si>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</si>
  <si>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</si>
  <si>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</si>
  <si>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</si>
  <si>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</si>
  <si>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</si>
  <si>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</si>
  <si>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</si>
  <si>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</si>
  <si>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</si>
  <si>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</si>
  <si>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</si>
  <si>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</si>
  <si>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</si>
  <si>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</si>
  <si>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</si>
  <si>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</si>
  <si>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</si>
  <si>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</si>
  <si>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</si>
  <si>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</si>
  <si>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</si>
  <si>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</si>
  <si>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</si>
  <si>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</si>
  <si>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</si>
  <si>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</si>
  <si>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</si>
  <si>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</si>
  <si>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</si>
  <si>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</si>
  <si>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</si>
  <si>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</si>
  <si>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</si>
  <si>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</si>
  <si>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</si>
  <si>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</si>
  <si>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</si>
  <si>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</si>
  <si>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</si>
  <si>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</si>
  <si>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</si>
  <si>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</si>
  <si>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</si>
  <si>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</si>
  <si>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</si>
  <si>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</si>
  <si>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</si>
  <si>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</si>
  <si>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</si>
  <si>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</si>
  <si>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</si>
  <si>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</si>
  <si>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</si>
  <si>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</si>
  <si>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</si>
  <si>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</si>
  <si>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</si>
  <si>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</si>
  <si>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</si>
  <si>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</si>
  <si>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</si>
  <si>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</si>
  <si>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</si>
  <si>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</si>
  <si>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</si>
  <si>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</si>
  <si>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</si>
  <si>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</si>
  <si>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</si>
  <si>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</si>
  <si>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</si>
  <si>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</si>
  <si>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</si>
  <si>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</si>
  <si>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</si>
  <si>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</si>
  <si>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</si>
  <si>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</si>
  <si>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</si>
  <si>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</si>
  <si>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</si>
  <si>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</si>
  <si>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</si>
  <si>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</si>
  <si>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</si>
  <si>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</si>
  <si>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</si>
  <si>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</si>
  <si>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</si>
  <si>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</si>
  <si>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</si>
  <si>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</si>
  <si>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</si>
  <si>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</si>
  <si>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</si>
  <si>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</si>
  <si>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</si>
  <si>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</si>
  <si>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</si>
  <si>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</si>
  <si>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</si>
  <si>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</si>
  <si>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</si>
  <si>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</si>
  <si>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</si>
  <si>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</si>
  <si>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</si>
  <si>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</si>
  <si>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</si>
  <si>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</si>
  <si>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</si>
  <si>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</si>
  <si>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</si>
  <si>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</si>
  <si>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</si>
  <si>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</si>
  <si>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</si>
  <si>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</si>
  <si>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</si>
  <si>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</si>
  <si>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</si>
  <si>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</si>
  <si>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</si>
  <si>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</si>
  <si>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</si>
  <si>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</si>
  <si>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</si>
  <si>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</si>
  <si>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</si>
  <si>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</si>
  <si>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</si>
  <si>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</si>
  <si>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</si>
  <si>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</si>
  <si>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</si>
  <si>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</si>
  <si>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</si>
  <si>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</si>
  <si>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</si>
  <si>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</si>
  <si>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</si>
  <si>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</si>
  <si>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</si>
  <si>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</si>
  <si>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</si>
  <si>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</si>
  <si>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</si>
  <si>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</si>
  <si>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</si>
  <si>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</si>
  <si>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</si>
  <si>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</si>
  <si>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</si>
  <si>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</si>
  <si>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</si>
  <si>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</si>
  <si>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</si>
  <si>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</si>
  <si>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</si>
  <si>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</si>
  <si>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</si>
  <si>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</si>
  <si>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</si>
  <si>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</si>
  <si>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</si>
  <si>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</si>
  <si>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</si>
  <si>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</si>
  <si>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</si>
  <si>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</si>
  <si>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</si>
  <si>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</si>
  <si>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</si>
  <si>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</si>
  <si>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</si>
  <si>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</si>
  <si>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</si>
  <si>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</si>
  <si>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</si>
  <si>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</si>
  <si>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</si>
  <si>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</si>
  <si>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</si>
  <si>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</si>
  <si>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</si>
  <si>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</si>
  <si>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</si>
  <si>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</si>
  <si>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</si>
  <si>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</si>
  <si>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</si>
  <si>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</si>
  <si>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</si>
  <si>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</si>
  <si>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</si>
  <si>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</si>
  <si>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</si>
  <si>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</si>
  <si>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</si>
  <si>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</si>
  <si>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</si>
  <si>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</si>
  <si>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</si>
  <si>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</si>
  <si>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</si>
  <si>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</si>
  <si>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</si>
  <si>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</si>
  <si>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</si>
  <si>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</si>
  <si>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</si>
  <si>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</si>
  <si>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</si>
  <si>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</si>
  <si>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</si>
  <si>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</si>
  <si>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</si>
  <si>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</si>
  <si>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</si>
  <si>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</si>
  <si>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</si>
  <si>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</si>
  <si>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</si>
  <si>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</si>
  <si>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</si>
  <si>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</si>
  <si>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</si>
  <si>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</si>
  <si>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</si>
  <si>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</si>
  <si>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</si>
  <si>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</si>
  <si>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</si>
  <si>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</si>
  <si>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</si>
  <si>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</si>
  <si>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</si>
  <si>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</si>
  <si>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</si>
  <si>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</si>
  <si>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</si>
  <si>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</si>
  <si>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</si>
  <si>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</si>
  <si>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</si>
  <si>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</si>
  <si>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</si>
  <si>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</si>
  <si>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</si>
  <si>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</si>
  <si>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</si>
  <si>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</si>
  <si>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</si>
  <si>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</si>
  <si>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</si>
  <si>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</si>
  <si>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</si>
  <si>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</si>
  <si>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</si>
  <si>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</si>
  <si>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</si>
  <si>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</si>
  <si>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</si>
  <si>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</si>
  <si>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</si>
  <si>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</si>
  <si>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</si>
  <si>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</si>
  <si>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</si>
  <si>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</si>
  <si>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</si>
  <si>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</si>
  <si>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</si>
  <si>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</si>
  <si>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</si>
  <si>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</si>
  <si>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</si>
  <si>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</si>
  <si>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</si>
  <si>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</si>
  <si>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</si>
  <si>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</si>
  <si>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</si>
  <si>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</si>
  <si>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</si>
  <si>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</si>
  <si>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</si>
  <si>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</si>
  <si>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</si>
  <si>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</si>
  <si>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</si>
  <si>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</si>
  <si>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</si>
  <si>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</si>
  <si>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</si>
  <si>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</si>
  <si>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</si>
  <si>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</si>
  <si>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</si>
  <si>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</si>
  <si>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</si>
  <si>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</si>
  <si>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</si>
  <si>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</si>
  <si>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</si>
  <si>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</si>
  <si>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</si>
  <si>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</si>
  <si>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</si>
  <si>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</si>
  <si>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</si>
  <si>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</si>
  <si>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</si>
  <si>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</si>
  <si>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</si>
  <si>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</si>
  <si>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</si>
  <si>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</si>
  <si>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</si>
  <si>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</si>
  <si>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</si>
  <si>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</si>
  <si>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</si>
  <si>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</si>
  <si>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</si>
  <si>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</si>
  <si>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</si>
  <si>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</si>
  <si>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</si>
  <si>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</si>
  <si>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</si>
  <si>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</si>
  <si>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</si>
  <si>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</si>
  <si>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</si>
  <si>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</si>
  <si>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</si>
  <si>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</si>
  <si>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</si>
  <si>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</si>
  <si>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</si>
  <si>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</si>
  <si>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</si>
  <si>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</si>
  <si>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</si>
  <si>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</si>
  <si>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</si>
  <si>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</si>
  <si>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</si>
  <si>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</si>
  <si>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</si>
  <si>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</si>
  <si>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</si>
  <si>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</si>
  <si>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</si>
  <si>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</si>
  <si>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</si>
  <si>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</si>
  <si>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</si>
  <si>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</si>
  <si>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</si>
  <si>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</si>
  <si>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</si>
  <si>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</si>
  <si>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</si>
  <si>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</si>
  <si>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</si>
  <si>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</si>
  <si>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</si>
  <si>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</si>
  <si>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</si>
  <si>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</si>
  <si>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</si>
  <si>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</si>
  <si>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</si>
  <si>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</si>
  <si>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</si>
  <si>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</si>
  <si>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</si>
  <si>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</si>
  <si>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</si>
  <si>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</si>
  <si>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</si>
  <si>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</si>
  <si>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</si>
  <si>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</si>
  <si>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</si>
  <si>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</si>
  <si>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</si>
  <si>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</si>
  <si>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</si>
  <si>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</si>
  <si>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</si>
  <si>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</si>
  <si>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</si>
  <si>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</si>
  <si>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</si>
  <si>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</si>
  <si>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</si>
  <si>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</si>
  <si>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</si>
  <si>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</si>
  <si>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</si>
  <si>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</si>
  <si>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</si>
  <si>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</si>
  <si>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</si>
  <si>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</si>
  <si>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</si>
  <si>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</si>
  <si>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</si>
  <si>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</si>
  <si>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</si>
  <si>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</si>
  <si>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</si>
  <si>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</si>
  <si>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</si>
  <si>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</si>
  <si>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</si>
  <si>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</si>
  <si>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</si>
  <si>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</si>
  <si>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</si>
  <si>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</si>
  <si>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</si>
  <si>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</si>
  <si>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</si>
  <si>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</si>
  <si>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</si>
  <si>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</si>
  <si>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</si>
  <si>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</si>
  <si>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</si>
  <si>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</si>
  <si>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</si>
  <si>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</si>
  <si>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</si>
  <si>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</si>
  <si>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</si>
  <si>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</si>
  <si>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</si>
  <si>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</si>
  <si>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</si>
  <si>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</si>
  <si>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</si>
  <si>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</si>
  <si>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</si>
  <si>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</si>
  <si>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</si>
  <si>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</si>
  <si>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</si>
  <si>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</si>
  <si>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</si>
  <si>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</si>
  <si>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</si>
  <si>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</si>
  <si>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</si>
  <si>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</si>
  <si>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</si>
  <si>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</si>
  <si>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</si>
  <si>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</si>
  <si>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</si>
  <si>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</si>
  <si>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</si>
  <si>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</si>
  <si>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</si>
  <si>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</si>
  <si>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</si>
  <si>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</si>
  <si>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</si>
  <si>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</si>
  <si>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</si>
  <si>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</si>
  <si>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</si>
  <si>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</si>
  <si>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</si>
  <si>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</si>
  <si>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</si>
  <si>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</si>
  <si>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</si>
  <si>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</si>
  <si>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</si>
  <si>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</si>
  <si>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</si>
  <si>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</si>
  <si>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</si>
  <si>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</si>
  <si>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</si>
  <si>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</si>
  <si>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</si>
  <si>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</si>
  <si>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</si>
  <si>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</si>
  <si>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</si>
  <si>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</si>
  <si>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</si>
  <si>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</si>
  <si>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</si>
  <si>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</si>
  <si>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</si>
  <si>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</si>
  <si>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</si>
  <si>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</si>
  <si>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</si>
  <si>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</si>
  <si>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</si>
  <si>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</si>
  <si>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</si>
  <si>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</si>
  <si>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</si>
  <si>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</si>
  <si>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</si>
  <si>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</si>
  <si>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</si>
  <si>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</si>
  <si>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</si>
  <si>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</si>
  <si>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</si>
  <si>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</si>
  <si>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</si>
  <si>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</si>
  <si>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</si>
  <si>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</si>
  <si>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</si>
  <si>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</si>
  <si>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</si>
  <si>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</si>
  <si>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</si>
  <si>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</si>
  <si>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</si>
  <si>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</si>
  <si>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</si>
  <si>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</si>
  <si>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</si>
  <si>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</si>
  <si>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</si>
  <si>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</si>
  <si>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</si>
  <si>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</si>
  <si>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</si>
  <si>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</si>
  <si>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</si>
  <si>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</si>
  <si>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</si>
  <si>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</si>
  <si>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</si>
  <si>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</si>
  <si>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</si>
  <si>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</si>
  <si>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</si>
  <si>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</si>
  <si>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</si>
  <si>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</si>
  <si>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</si>
  <si>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</si>
  <si>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</si>
  <si>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</si>
  <si>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</si>
  <si>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</si>
  <si>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</si>
  <si>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</si>
  <si>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</si>
  <si>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</si>
  <si>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</si>
  <si>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</si>
  <si>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</si>
  <si>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</si>
  <si>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</si>
  <si>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</si>
  <si>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</si>
  <si>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</si>
  <si>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</si>
  <si>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</si>
  <si>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</si>
  <si>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</si>
  <si>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</si>
  <si>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</si>
  <si>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</si>
  <si>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</si>
  <si>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</si>
  <si>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</si>
  <si>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</si>
  <si>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</si>
  <si>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</si>
  <si>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</si>
  <si>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</si>
  <si>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</si>
  <si>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</si>
  <si>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</si>
  <si>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</si>
  <si>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</si>
  <si>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</si>
  <si>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</si>
  <si>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</si>
  <si>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</si>
  <si>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</si>
  <si>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</si>
  <si>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</si>
  <si>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</si>
  <si>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</si>
  <si>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</si>
  <si>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</si>
  <si>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</si>
  <si>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</si>
  <si>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</si>
  <si>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</si>
  <si>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</si>
  <si>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</si>
  <si>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</si>
  <si>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</si>
  <si>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</si>
  <si>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</si>
  <si>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</si>
  <si>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</si>
  <si>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</si>
  <si>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</si>
  <si>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</si>
  <si>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</si>
  <si>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</si>
  <si>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</si>
  <si>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</si>
  <si>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</si>
  <si>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</si>
  <si>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</si>
  <si>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</si>
  <si>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</si>
  <si>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</si>
  <si>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</si>
  <si>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</si>
  <si>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</si>
  <si>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</si>
  <si>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</si>
  <si>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</si>
  <si>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</si>
  <si>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</si>
  <si>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</si>
  <si>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</si>
  <si>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</si>
  <si>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</si>
  <si>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</si>
  <si>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</si>
  <si>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</si>
  <si>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</si>
  <si>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</si>
  <si>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</si>
  <si>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</si>
  <si>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</si>
  <si>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</si>
  <si>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</si>
  <si>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</si>
  <si>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</si>
  <si>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</si>
  <si>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</si>
  <si>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</si>
  <si>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</si>
  <si>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</si>
  <si>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</si>
  <si>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</si>
  <si>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</si>
  <si>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</si>
  <si>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</si>
  <si>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</si>
  <si>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</si>
  <si>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</si>
  <si>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</si>
  <si>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</si>
  <si>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</si>
  <si>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</si>
  <si>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</si>
  <si>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</si>
  <si>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</si>
  <si>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</si>
  <si>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</si>
  <si>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</si>
  <si>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</si>
  <si>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</si>
  <si>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</si>
  <si>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</si>
  <si>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</si>
  <si>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</si>
  <si>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</si>
  <si>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</si>
  <si>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</si>
  <si>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</si>
  <si>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</si>
  <si>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</si>
  <si>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</si>
  <si>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</si>
  <si>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</si>
  <si>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</si>
  <si>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</si>
  <si>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</si>
  <si>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</si>
  <si>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</si>
  <si>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</si>
  <si>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</si>
  <si>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</si>
  <si>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</si>
  <si>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</si>
  <si>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</si>
  <si>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</si>
  <si>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</si>
  <si>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</si>
  <si>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</si>
  <si>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</si>
  <si>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</si>
  <si>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</si>
  <si>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</si>
  <si>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</si>
  <si>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</si>
  <si>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</si>
  <si>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</si>
  <si>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</si>
  <si>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</si>
  <si>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</si>
  <si>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</si>
  <si>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</si>
  <si>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</si>
  <si>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</si>
  <si>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</si>
  <si>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</si>
  <si>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</si>
  <si>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</si>
  <si>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</si>
  <si>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</si>
  <si>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</si>
  <si>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</si>
  <si>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</si>
  <si>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</si>
  <si>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</si>
  <si>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</si>
  <si>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</si>
  <si>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</si>
  <si>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</si>
  <si>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</si>
  <si>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</si>
  <si>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</si>
  <si>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</si>
  <si>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</si>
  <si>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</si>
  <si>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</si>
  <si>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</si>
  <si>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</si>
  <si>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</si>
  <si>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</si>
  <si>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</si>
  <si>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</si>
  <si>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</si>
  <si>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</si>
  <si>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</si>
  <si>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</si>
  <si>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</si>
  <si>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</si>
  <si>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</si>
  <si>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</si>
  <si>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</si>
  <si>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</si>
  <si>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</si>
  <si>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</si>
  <si>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</si>
  <si>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</si>
  <si>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</si>
  <si>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</si>
  <si>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</si>
  <si>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</si>
  <si>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</si>
  <si>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</si>
  <si>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</si>
  <si>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</si>
  <si>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</si>
  <si>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</si>
  <si>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</si>
  <si>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</si>
  <si>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</si>
  <si>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</si>
  <si>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</si>
  <si>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</si>
  <si>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</si>
  <si>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</si>
  <si>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</si>
  <si>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</si>
  <si>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</si>
  <si>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</si>
  <si>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</si>
  <si>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</si>
  <si>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</si>
  <si>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</si>
  <si>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</si>
  <si>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</si>
  <si>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</si>
  <si>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</si>
  <si>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</si>
  <si>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</si>
  <si>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</si>
  <si>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</si>
  <si>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</si>
  <si>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</si>
  <si>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</si>
  <si>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</si>
  <si>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</si>
  <si>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</si>
  <si>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</si>
  <si>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</si>
  <si>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</si>
  <si>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</si>
  <si>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</si>
  <si>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</si>
  <si>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</si>
  <si>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</si>
  <si>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</si>
  <si>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</si>
  <si>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</si>
  <si>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</si>
  <si>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</si>
  <si>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</si>
  <si>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</si>
  <si>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</si>
  <si>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</si>
  <si>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</si>
  <si>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</si>
  <si>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</si>
  <si>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</si>
  <si>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</si>
  <si>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</si>
  <si>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</si>
  <si>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</si>
  <si>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</si>
  <si>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</si>
  <si>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</si>
  <si>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</si>
  <si>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</si>
  <si>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</si>
  <si>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</si>
  <si>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</si>
  <si>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</si>
  <si>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</si>
  <si>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</si>
  <si>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</si>
  <si>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</si>
  <si>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</si>
  <si>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</si>
  <si>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</si>
  <si>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</si>
  <si>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</si>
  <si>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</si>
  <si>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</si>
  <si>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</si>
  <si>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</si>
  <si>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</si>
  <si>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</si>
  <si>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</si>
  <si>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</si>
  <si>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</si>
  <si>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</si>
  <si>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</si>
  <si>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</si>
  <si>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</si>
  <si>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</si>
  <si>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</si>
  <si>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</si>
  <si>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</si>
  <si>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</si>
  <si>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</si>
  <si>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</si>
  <si>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</si>
  <si>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</si>
  <si>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</si>
  <si>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</si>
  <si>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</si>
  <si>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</si>
  <si>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</si>
  <si>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</si>
  <si>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</si>
  <si>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</si>
  <si>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</si>
  <si>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</si>
  <si>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</si>
  <si>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</si>
  <si>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</si>
  <si>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</si>
  <si>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</si>
  <si>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</si>
  <si>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</si>
  <si>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</si>
  <si>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</si>
  <si>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</si>
  <si>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</si>
  <si>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</si>
  <si>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</si>
  <si>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</si>
  <si>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</si>
  <si>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</si>
  <si>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</si>
  <si>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</si>
  <si>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</si>
  <si>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</si>
  <si>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</si>
  <si>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</si>
  <si>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</si>
  <si>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</si>
  <si>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</si>
  <si>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</si>
  <si>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</si>
  <si>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</si>
  <si>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</si>
  <si>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</si>
  <si>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</si>
  <si>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</si>
  <si>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</si>
  <si>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</si>
  <si>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</si>
  <si>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</si>
  <si>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</si>
  <si>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</si>
  <si>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</si>
  <si>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</si>
  <si>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</si>
  <si>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</si>
  <si>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</si>
  <si>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</si>
  <si>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</si>
  <si>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</si>
  <si>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</si>
  <si>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</si>
  <si>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</si>
  <si>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</si>
  <si>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</si>
  <si>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</si>
  <si>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</si>
  <si>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</si>
  <si>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</si>
  <si>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</si>
  <si>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</si>
  <si>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</si>
  <si>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</si>
  <si>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</si>
  <si>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</si>
  <si>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</si>
  <si>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</si>
  <si>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</si>
  <si>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</si>
  <si>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</si>
  <si>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</si>
  <si>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</si>
  <si>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</si>
  <si>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</si>
  <si>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</si>
  <si>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</si>
  <si>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</si>
  <si>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</si>
  <si>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</si>
  <si>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</si>
  <si>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</si>
  <si>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</si>
  <si>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</si>
  <si>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</si>
  <si>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</si>
  <si>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</si>
  <si>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</si>
  <si>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</si>
  <si>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</si>
  <si>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</si>
  <si>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</si>
  <si>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</si>
  <si>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</si>
  <si>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</si>
  <si>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</si>
  <si>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</si>
  <si>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</si>
  <si>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</si>
  <si>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</si>
  <si>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</si>
  <si>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</si>
  <si>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</si>
  <si>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</si>
  <si>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</si>
  <si>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</si>
  <si>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</si>
  <si>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</si>
  <si>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</si>
  <si>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</si>
  <si>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</si>
  <si>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</si>
  <si>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</si>
  <si>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</si>
  <si>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</si>
  <si>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</si>
  <si>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</si>
  <si>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</si>
  <si>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</si>
  <si>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</si>
  <si>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</si>
  <si>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</si>
  <si>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</si>
  <si>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</si>
  <si>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</si>
  <si>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</si>
  <si>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</si>
  <si>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</si>
  <si>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</si>
  <si>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</si>
  <si>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</si>
  <si>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</si>
  <si>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</si>
  <si>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</si>
  <si>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</si>
  <si>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</si>
  <si>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</si>
  <si>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</si>
  <si>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</si>
  <si>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</si>
  <si>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</si>
  <si>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</si>
  <si>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</si>
  <si>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</si>
  <si>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</si>
  <si>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</si>
  <si>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</si>
  <si>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</si>
  <si>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</si>
  <si>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</si>
  <si>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</si>
  <si>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</si>
  <si>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</si>
  <si>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</si>
  <si>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</si>
  <si>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</si>
  <si>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</si>
  <si>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</si>
  <si>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</si>
  <si>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</si>
  <si>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</si>
  <si>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</si>
  <si>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</si>
  <si>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</si>
  <si>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</si>
  <si>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</si>
  <si>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</si>
  <si>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</si>
  <si>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</si>
  <si>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</si>
  <si>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</si>
  <si>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</si>
  <si>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</si>
  <si>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</si>
  <si>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</si>
  <si>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</si>
  <si>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</si>
  <si>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</si>
  <si>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</si>
  <si>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</si>
  <si>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</si>
  <si>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</si>
  <si>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</si>
  <si>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</si>
  <si>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</si>
  <si>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</si>
  <si>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</si>
  <si>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</si>
  <si>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</si>
  <si>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</si>
  <si>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</si>
  <si>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</si>
  <si>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</si>
  <si>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</si>
  <si>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</si>
  <si>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</si>
  <si>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</si>
  <si>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</si>
  <si>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</si>
  <si>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</si>
  <si>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</si>
  <si>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</si>
  <si>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</si>
  <si>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</si>
  <si>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</si>
  <si>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</si>
  <si>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</si>
  <si>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</si>
  <si>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</si>
  <si>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</si>
  <si>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</si>
  <si>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</si>
  <si>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</si>
  <si>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</si>
  <si>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</si>
  <si>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</si>
  <si>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</si>
  <si>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</si>
  <si>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</si>
  <si>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</si>
  <si>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</si>
  <si>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</si>
  <si>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</si>
  <si>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</si>
  <si>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</si>
  <si>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</si>
  <si>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</si>
  <si>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</si>
  <si>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</si>
  <si>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</si>
  <si>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</si>
  <si>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</si>
  <si>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</si>
  <si>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</si>
  <si>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</si>
  <si>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</si>
  <si>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</si>
  <si>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</si>
  <si>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</si>
  <si>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</si>
  <si>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</si>
  <si>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</si>
  <si>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</si>
  <si>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</si>
  <si>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</si>
  <si>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</si>
  <si>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</si>
  <si>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</si>
  <si>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</si>
  <si>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</si>
  <si>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</si>
  <si>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</si>
  <si>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</si>
  <si>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</si>
  <si>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</si>
  <si>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</si>
  <si>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</si>
  <si>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</si>
  <si>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</si>
  <si>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</si>
  <si>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</si>
  <si>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</si>
  <si>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</si>
  <si>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</si>
  <si>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</si>
  <si>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</si>
  <si>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</si>
  <si>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</si>
  <si>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</si>
  <si>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</si>
  <si>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</si>
  <si>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</si>
  <si>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</si>
  <si>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</si>
  <si>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</si>
  <si>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</si>
  <si>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</si>
  <si>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</si>
  <si>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</si>
  <si>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</si>
  <si>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</si>
  <si>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</si>
  <si>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</si>
  <si>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</si>
  <si>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</si>
  <si>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</si>
  <si>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</si>
  <si>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</si>
  <si>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</si>
  <si>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</si>
  <si>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</si>
  <si>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</si>
  <si>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</si>
  <si>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</si>
  <si>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</si>
  <si>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</si>
  <si>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</si>
  <si>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</si>
  <si>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</si>
  <si>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</si>
  <si>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</si>
  <si>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</si>
  <si>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</si>
  <si>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</si>
  <si>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</si>
  <si>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</si>
  <si>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</si>
  <si>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</si>
  <si>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</si>
  <si>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</si>
  <si>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</si>
  <si>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</si>
  <si>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</si>
  <si>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</si>
  <si>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</si>
  <si>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</si>
  <si>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</si>
  <si>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</si>
  <si>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</si>
  <si>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</si>
  <si>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</si>
  <si>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</si>
  <si>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</si>
  <si>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</si>
  <si>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</si>
  <si>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</si>
  <si>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</si>
  <si>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</si>
  <si>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</si>
  <si>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</si>
  <si>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</si>
  <si>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</si>
  <si>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</si>
  <si>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</si>
  <si>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</si>
  <si>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</si>
  <si>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</si>
  <si>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</si>
  <si>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</si>
  <si>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</si>
  <si>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</si>
  <si>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</si>
  <si>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</si>
  <si>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</si>
  <si>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</si>
  <si>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</si>
  <si>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</si>
  <si>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</si>
  <si>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</si>
  <si>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</si>
  <si>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</si>
  <si>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</si>
  <si>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</si>
  <si>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</si>
  <si>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</si>
  <si>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</si>
  <si>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</si>
  <si>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</si>
  <si>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</si>
  <si>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</si>
  <si>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</si>
  <si>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</si>
  <si>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</si>
  <si>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</si>
  <si>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</si>
  <si>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</si>
  <si>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</si>
  <si>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</si>
  <si>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</si>
  <si>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</si>
  <si>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</si>
  <si>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</si>
  <si>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</si>
  <si>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</si>
  <si>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</si>
  <si>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</si>
  <si>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</si>
  <si>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</si>
  <si>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</si>
  <si>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</si>
  <si>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</si>
  <si>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</si>
  <si>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</si>
  <si>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</si>
  <si>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</si>
  <si>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</si>
  <si>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</si>
  <si>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</si>
  <si>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</si>
  <si>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</si>
  <si>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</si>
  <si>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</si>
  <si>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</si>
  <si>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</si>
  <si>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</si>
  <si>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</si>
  <si>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</si>
  <si>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</si>
  <si>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</si>
  <si>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</si>
  <si>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</si>
  <si>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</si>
  <si>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</si>
  <si>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</si>
  <si>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</si>
  <si>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</si>
  <si>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</si>
  <si>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</si>
  <si>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</si>
  <si>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</si>
  <si>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</si>
  <si>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</si>
  <si>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</si>
  <si>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</si>
  <si>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</si>
  <si>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</si>
  <si>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</si>
  <si>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</si>
  <si>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</si>
  <si>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</si>
  <si>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</si>
  <si>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</si>
  <si>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</si>
  <si>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</si>
  <si>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</si>
  <si>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</si>
  <si>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</si>
  <si>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</si>
  <si>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</si>
  <si>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</si>
  <si>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</si>
  <si>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</si>
  <si>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</si>
  <si>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</si>
  <si>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</si>
  <si>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</si>
  <si>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</si>
  <si>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</si>
  <si>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</si>
  <si>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</si>
  <si>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</si>
  <si>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</si>
  <si>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</si>
  <si>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</si>
  <si>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</si>
  <si>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</si>
  <si>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</si>
  <si>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</si>
  <si>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</si>
  <si>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</si>
  <si>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</si>
  <si>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</si>
  <si>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</si>
  <si>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</si>
  <si>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</si>
  <si>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</si>
  <si>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</si>
  <si>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</si>
  <si>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</si>
  <si>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</si>
  <si>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</si>
  <si>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</si>
  <si>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</si>
  <si>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</si>
  <si>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</si>
  <si>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</si>
  <si>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</si>
  <si>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</si>
  <si>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</si>
  <si>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</si>
  <si>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</si>
  <si>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</si>
  <si>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</si>
  <si>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</si>
  <si>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</si>
  <si>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</si>
  <si>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</si>
  <si>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</si>
  <si>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</si>
  <si>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</si>
  <si>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</si>
  <si>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</si>
  <si>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</si>
  <si>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</si>
  <si>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</si>
  <si>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</si>
  <si>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</si>
  <si>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</si>
  <si>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</si>
  <si>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</si>
  <si>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</si>
  <si>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</si>
  <si>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</si>
  <si>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</si>
  <si>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</si>
  <si>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</si>
  <si>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</si>
  <si>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</si>
  <si>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</si>
  <si>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</si>
  <si>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</si>
  <si>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</si>
  <si>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</si>
  <si>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</si>
  <si>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</si>
  <si>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</si>
  <si>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</si>
  <si>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</si>
  <si>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</si>
  <si>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</si>
  <si>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</si>
  <si>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</si>
  <si>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</si>
  <si>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</si>
  <si>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</si>
  <si>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</si>
  <si>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</si>
  <si>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</si>
  <si>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</si>
  <si>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</si>
  <si>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</si>
  <si>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</si>
  <si>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</si>
  <si>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</si>
  <si>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</si>
  <si>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</si>
  <si>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</si>
  <si>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</si>
  <si>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</si>
  <si>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</si>
  <si>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</si>
  <si>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</si>
  <si>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</si>
  <si>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</si>
  <si>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</si>
  <si>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</si>
  <si>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</si>
  <si>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</si>
  <si>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</si>
  <si>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</si>
  <si>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</si>
  <si>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</si>
  <si>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</si>
  <si>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</si>
  <si>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</si>
  <si>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</si>
  <si>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</si>
  <si>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</si>
  <si>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</si>
  <si>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</si>
  <si>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</si>
  <si>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</si>
  <si>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</si>
  <si>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</si>
  <si>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</si>
  <si>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</si>
  <si>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</si>
  <si>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</si>
  <si>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</si>
  <si>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</si>
  <si>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</si>
  <si>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</si>
  <si>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</si>
  <si>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</si>
  <si>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</si>
  <si>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</si>
  <si>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</si>
  <si>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</si>
  <si>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</si>
  <si>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</si>
  <si>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</si>
  <si>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</si>
  <si>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</si>
  <si>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</si>
  <si>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</si>
  <si>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</si>
  <si>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</si>
  <si>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</si>
  <si>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</si>
  <si>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</si>
  <si>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</si>
  <si>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</si>
  <si>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</si>
  <si>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</si>
  <si>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</si>
  <si>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</si>
  <si>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</si>
  <si>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</si>
  <si>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</si>
  <si>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</si>
  <si>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</si>
  <si>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</si>
  <si>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</si>
  <si>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</si>
  <si>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</si>
  <si>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</si>
  <si>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</si>
  <si>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</si>
  <si>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</si>
  <si>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</si>
  <si>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</si>
  <si>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</si>
  <si>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</si>
  <si>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</si>
  <si>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</si>
  <si>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</si>
  <si>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</si>
  <si>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</si>
  <si>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</si>
  <si>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</si>
  <si>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</si>
  <si>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</si>
  <si>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</si>
  <si>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</si>
  <si>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</si>
  <si>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</si>
  <si>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</si>
  <si>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</si>
  <si>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</si>
  <si>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</si>
  <si>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</si>
  <si>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</si>
  <si>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</si>
  <si>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</si>
  <si>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</si>
  <si>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</si>
  <si>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</si>
  <si>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</si>
  <si>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</si>
  <si>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</si>
  <si>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</si>
  <si>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</si>
  <si>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</si>
  <si>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</si>
  <si>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</si>
  <si>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</si>
  <si>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</si>
  <si>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</si>
  <si>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</si>
  <si>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</si>
  <si>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</si>
  <si>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</si>
  <si>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</si>
  <si>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</si>
  <si>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</si>
  <si>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</si>
  <si>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</si>
  <si>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</si>
  <si>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</si>
  <si>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</si>
  <si>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</si>
  <si>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</si>
  <si>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</si>
  <si>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</si>
  <si>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</si>
  <si>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</si>
  <si>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</si>
  <si>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</si>
  <si>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</si>
  <si>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</si>
  <si>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</si>
  <si>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</si>
  <si>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</si>
  <si>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</si>
  <si>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</si>
  <si>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</si>
  <si>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</si>
  <si>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</si>
  <si>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</si>
  <si>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</si>
  <si>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</si>
  <si>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</si>
  <si>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</si>
  <si>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</si>
  <si>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</si>
  <si>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</si>
  <si>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</si>
  <si>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</si>
  <si>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</si>
  <si>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</si>
  <si>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</si>
  <si>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</si>
  <si>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</si>
  <si>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</si>
  <si>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</si>
  <si>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</si>
  <si>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</si>
  <si>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</si>
  <si>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</si>
  <si>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</si>
  <si>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</si>
  <si>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</si>
  <si>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</si>
  <si>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</si>
  <si>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</si>
  <si>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</si>
  <si>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</si>
  <si>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</si>
  <si>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</si>
  <si>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</si>
  <si>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</si>
  <si>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</si>
  <si>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</si>
  <si>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</si>
  <si>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</si>
  <si>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</si>
  <si>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</si>
  <si>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</si>
  <si>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</si>
  <si>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</si>
  <si>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</si>
  <si>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</si>
  <si>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</si>
  <si>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</si>
  <si>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</si>
  <si>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</si>
  <si>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</si>
  <si>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</si>
  <si>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</si>
  <si>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</si>
  <si>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</si>
  <si>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</si>
  <si>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</si>
  <si>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</si>
  <si>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</si>
  <si>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</si>
  <si>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</si>
  <si>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</si>
  <si>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</si>
  <si>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</si>
  <si>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</si>
  <si>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</si>
  <si>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</si>
  <si>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</si>
  <si>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</si>
  <si>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</si>
  <si>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</si>
  <si>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</si>
  <si>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</si>
  <si>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</si>
  <si>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</si>
  <si>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</si>
  <si>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</si>
  <si>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</si>
  <si>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</si>
  <si>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</si>
  <si>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</si>
  <si>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</si>
  <si>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</si>
  <si>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</si>
  <si>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</si>
  <si>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</si>
  <si>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</si>
  <si>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</si>
  <si>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</si>
  <si>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</si>
  <si>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</si>
  <si>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</si>
  <si>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</si>
  <si>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</si>
  <si>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</si>
  <si>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</si>
  <si>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</si>
  <si>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</si>
  <si>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</si>
  <si>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</si>
  <si>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</si>
  <si>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</si>
  <si>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</si>
  <si>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</si>
  <si>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</si>
  <si>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</si>
  <si>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</si>
  <si>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</si>
  <si>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</si>
  <si>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</si>
  <si>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</si>
  <si>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</si>
  <si>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</si>
  <si>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</si>
  <si>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</si>
  <si>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</si>
  <si>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</si>
  <si>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</si>
  <si>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</si>
  <si>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</si>
  <si>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</si>
  <si>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</si>
  <si>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</si>
  <si>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</si>
  <si>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</si>
  <si>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</si>
  <si>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</si>
  <si>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</si>
  <si>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</si>
  <si>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</si>
  <si>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</si>
  <si>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</si>
  <si>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</si>
  <si>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</si>
  <si>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</si>
  <si>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</si>
  <si>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</si>
  <si>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</si>
  <si>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</si>
  <si>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</si>
  <si>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</si>
  <si>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</si>
  <si>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</si>
  <si>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</si>
  <si>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</si>
  <si>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</si>
  <si>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</si>
  <si>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</si>
  <si>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</si>
  <si>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</si>
  <si>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</si>
  <si>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</si>
  <si>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</si>
  <si>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</si>
  <si>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</si>
  <si>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</si>
  <si>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</si>
  <si>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</si>
  <si>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</si>
  <si>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</si>
  <si>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</si>
  <si>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</si>
  <si>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</si>
  <si>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</si>
  <si>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</si>
  <si>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</si>
  <si>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</si>
  <si>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</si>
  <si>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</si>
  <si>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</si>
  <si>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</si>
  <si>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</si>
  <si>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</si>
  <si>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</si>
  <si>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</si>
  <si>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</si>
  <si>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</si>
  <si>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</si>
  <si>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</si>
  <si>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</si>
  <si>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</si>
  <si>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</si>
  <si>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</si>
  <si>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</si>
  <si>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</si>
  <si>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</si>
  <si>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</si>
  <si>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</si>
  <si>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</si>
  <si>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</si>
  <si>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</si>
  <si>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</si>
  <si>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</si>
  <si>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</si>
  <si>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</si>
  <si>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</si>
  <si>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</si>
  <si>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</si>
  <si>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</si>
  <si>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</si>
  <si>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</si>
  <si>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</si>
  <si>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</si>
  <si>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</si>
  <si>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</si>
  <si>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</si>
  <si>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</si>
  <si>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</si>
  <si>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</si>
  <si>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</si>
  <si>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</si>
  <si>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</si>
  <si>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</si>
  <si>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</si>
  <si>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</si>
  <si>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</si>
  <si>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</si>
  <si>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</si>
  <si>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</si>
  <si>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</si>
  <si>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</si>
  <si>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</si>
  <si>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</si>
  <si>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</si>
  <si>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</si>
  <si>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</si>
  <si>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</si>
  <si>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</si>
  <si>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</si>
  <si>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</si>
  <si>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</si>
  <si>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</si>
  <si>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</si>
  <si>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</si>
  <si>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</si>
  <si>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</si>
  <si>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</si>
  <si>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</si>
  <si>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</si>
  <si>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</si>
  <si>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</si>
  <si>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</si>
  <si>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</si>
  <si>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</si>
  <si>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</si>
  <si>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</si>
  <si>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</si>
  <si>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</si>
  <si>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</si>
  <si>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</si>
  <si>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</si>
  <si>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</si>
  <si>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</si>
  <si>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</si>
  <si>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</si>
  <si>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</si>
  <si>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</si>
  <si>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</si>
  <si>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</si>
  <si>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</si>
  <si>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</si>
  <si>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</si>
  <si>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</si>
  <si>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</si>
  <si>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</si>
  <si>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</si>
  <si>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</si>
  <si>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</si>
  <si>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</si>
  <si>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</si>
  <si>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</si>
  <si>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</si>
  <si>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</si>
  <si>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</si>
  <si>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</si>
  <si>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</si>
  <si>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</si>
  <si>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</si>
  <si>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</si>
  <si>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</si>
  <si>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</si>
  <si>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</si>
  <si>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</si>
  <si>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</si>
  <si>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</si>
  <si>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</si>
  <si>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</si>
  <si>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</si>
  <si>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</si>
  <si>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</si>
  <si>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</si>
  <si>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</si>
  <si>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</si>
  <si>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</si>
  <si>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</si>
  <si>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</si>
  <si>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</si>
  <si>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</si>
  <si>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</si>
  <si>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</si>
  <si>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</si>
  <si>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</si>
  <si>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</si>
  <si>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</si>
  <si>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</si>
  <si>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</si>
  <si>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</si>
  <si>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</si>
  <si>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</si>
  <si>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</si>
  <si>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</si>
  <si>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</si>
  <si>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</si>
  <si>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</si>
  <si>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</si>
  <si>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</si>
  <si>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</si>
  <si>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</si>
  <si>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</si>
  <si>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</si>
  <si>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</si>
  <si>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</si>
  <si>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</si>
  <si>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</si>
  <si>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</si>
  <si>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</si>
  <si>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</si>
  <si>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</si>
  <si>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</si>
  <si>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</si>
  <si>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</si>
  <si>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</si>
  <si>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</si>
  <si>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</si>
  <si>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</si>
  <si>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</si>
  <si>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</si>
  <si>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</si>
  <si>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</si>
  <si>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</si>
  <si>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</si>
  <si>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</si>
  <si>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</si>
  <si>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</si>
  <si>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</si>
  <si>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</si>
  <si>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</si>
  <si>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</si>
  <si>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</si>
  <si>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</si>
  <si>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</si>
  <si>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</si>
  <si>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</si>
  <si>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</si>
  <si>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</si>
  <si>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</si>
  <si>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</si>
  <si>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</si>
  <si>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</si>
  <si>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</si>
  <si>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</si>
  <si>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</si>
  <si>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</si>
  <si>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</si>
  <si>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</si>
  <si>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</si>
  <si>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</si>
  <si>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</si>
  <si>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</si>
  <si>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</si>
  <si>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</si>
  <si>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</si>
  <si>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</si>
  <si>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</si>
  <si>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</si>
  <si>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</si>
  <si>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</si>
  <si>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</si>
  <si>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</si>
  <si>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</si>
  <si>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</si>
  <si>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</si>
  <si>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</si>
  <si>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</si>
  <si>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</si>
  <si>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</si>
  <si>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</si>
  <si>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</si>
  <si>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</si>
  <si>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</si>
  <si>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</si>
  <si>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</si>
  <si>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</si>
  <si>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</si>
  <si>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</si>
  <si>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</si>
  <si>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</si>
  <si>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</si>
  <si>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</si>
  <si>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</si>
  <si>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</si>
  <si>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</si>
  <si>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</si>
  <si>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</si>
  <si>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</si>
  <si>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</si>
  <si>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</si>
  <si>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</si>
  <si>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</si>
  <si>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</si>
  <si>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</si>
  <si>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</si>
  <si>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</si>
  <si>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</si>
  <si>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</si>
  <si>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</si>
  <si>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</si>
  <si>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</si>
  <si>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</si>
  <si>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</si>
  <si>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</si>
  <si>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</si>
  <si>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</si>
  <si>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</si>
  <si>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</si>
  <si>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</si>
  <si>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</si>
  <si>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</si>
  <si>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</si>
  <si>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</si>
  <si>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</si>
  <si>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</si>
  <si>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</si>
  <si>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</si>
  <si>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</si>
  <si>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</si>
  <si>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</si>
  <si>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</si>
  <si>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</si>
  <si>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</si>
  <si>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</si>
  <si>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</si>
  <si>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</si>
  <si>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</si>
  <si>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</si>
  <si>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</si>
  <si>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</si>
  <si>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</si>
  <si>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</si>
  <si>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</si>
  <si>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</si>
  <si>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</si>
  <si>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</si>
  <si>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</si>
  <si>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</si>
  <si>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</si>
  <si>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</si>
  <si>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</si>
  <si>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</si>
  <si>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</si>
  <si>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</si>
  <si>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</si>
  <si>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</si>
  <si>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</si>
  <si>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</si>
  <si>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</si>
  <si>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</si>
  <si>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</si>
  <si>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</si>
  <si>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</si>
  <si>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</si>
  <si>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</si>
  <si>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</si>
  <si>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</si>
  <si>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</si>
  <si>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</si>
  <si>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</si>
  <si>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</si>
  <si>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</si>
  <si>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</si>
  <si>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</si>
  <si>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</si>
  <si>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</si>
  <si>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</si>
  <si>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</si>
  <si>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</si>
  <si>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</si>
  <si>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</si>
  <si>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</si>
  <si>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</si>
  <si>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</si>
  <si>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</si>
  <si>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</si>
  <si>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</si>
  <si>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</si>
  <si>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</si>
  <si>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</si>
  <si>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</si>
  <si>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</si>
  <si>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</si>
  <si>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</si>
  <si>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</si>
  <si>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</si>
  <si>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</si>
  <si>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</si>
  <si>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</si>
  <si>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</si>
  <si>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</si>
  <si>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</si>
  <si>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</si>
  <si>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</si>
  <si>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</si>
  <si>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</si>
  <si>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</si>
  <si>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</si>
  <si>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</si>
  <si>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</si>
  <si>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</si>
  <si>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</si>
  <si>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</si>
  <si>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</si>
  <si>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</si>
  <si>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</si>
  <si>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</si>
  <si>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</si>
  <si>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</si>
  <si>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</si>
  <si>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</si>
  <si>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</si>
  <si>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</si>
  <si>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</si>
  <si>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</si>
  <si>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</si>
  <si>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</si>
  <si>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</si>
  <si>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</si>
  <si>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</si>
  <si>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</si>
  <si>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</si>
  <si>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</si>
  <si>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</si>
  <si>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</si>
  <si>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</si>
  <si>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</si>
  <si>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</si>
  <si>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</si>
  <si>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</si>
  <si>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</si>
  <si>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</si>
  <si>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</si>
  <si>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</si>
  <si>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</si>
  <si>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</si>
  <si>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</si>
  <si>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</si>
  <si>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</si>
  <si>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</si>
  <si>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</si>
  <si>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</si>
  <si>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</si>
  <si>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</si>
  <si>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</si>
  <si>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</si>
  <si>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</si>
  <si>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</si>
  <si>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</si>
  <si>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</si>
  <si>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</si>
  <si>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</si>
  <si>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</si>
  <si>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</si>
  <si>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</si>
  <si>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</si>
  <si>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</si>
  <si>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</si>
  <si>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</si>
  <si>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</si>
  <si>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</si>
  <si>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</si>
  <si>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</si>
  <si>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</si>
  <si>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</si>
  <si>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</si>
  <si>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</si>
  <si>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</si>
  <si>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</si>
  <si>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</si>
  <si>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</si>
  <si>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</si>
  <si>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</si>
  <si>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</si>
  <si>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</si>
  <si>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</si>
  <si>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</si>
  <si>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</si>
  <si>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</si>
  <si>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</si>
  <si>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</si>
  <si>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</si>
  <si>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</si>
  <si>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</si>
  <si>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</si>
  <si>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</si>
  <si>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</si>
  <si>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</si>
  <si>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</si>
  <si>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</si>
  <si>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</si>
  <si>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</si>
  <si>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</si>
  <si>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</si>
  <si>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</si>
  <si>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</si>
  <si>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</si>
  <si>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</si>
  <si>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</si>
  <si>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</si>
  <si>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</si>
  <si>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</si>
  <si>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</si>
  <si>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</si>
  <si>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</si>
  <si>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</si>
  <si>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</si>
  <si>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</si>
  <si>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</si>
  <si>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</si>
  <si>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</si>
  <si>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</si>
  <si>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</si>
  <si>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</si>
  <si>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</si>
  <si>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</si>
  <si>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</si>
  <si>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</si>
  <si>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</si>
  <si>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</si>
  <si>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</si>
  <si>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</si>
  <si>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</si>
  <si>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</si>
  <si>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</si>
  <si>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</si>
  <si>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</si>
  <si>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</si>
  <si>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</si>
  <si>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</si>
  <si>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</si>
  <si>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</si>
  <si>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</si>
  <si>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</si>
  <si>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</si>
  <si>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</si>
  <si>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</si>
  <si>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</si>
  <si>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</si>
  <si>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</si>
  <si>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</si>
  <si>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</si>
  <si>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</si>
  <si>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</si>
  <si>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</si>
  <si>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</si>
  <si>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</si>
  <si>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</si>
  <si>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</si>
  <si>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</si>
  <si>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</si>
  <si>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</si>
  <si>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</si>
  <si>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</si>
  <si>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</si>
  <si>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</si>
  <si>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</si>
  <si>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</si>
  <si>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</si>
  <si>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</si>
  <si>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</si>
  <si>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</si>
  <si>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</si>
  <si>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</si>
  <si>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</si>
  <si>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</si>
  <si>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</si>
  <si>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</si>
  <si>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</si>
  <si>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</si>
  <si>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</si>
  <si>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</si>
  <si>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</si>
  <si>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</si>
  <si>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</si>
  <si>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</si>
  <si>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</si>
  <si>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</si>
  <si>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</si>
  <si>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</si>
  <si>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</si>
  <si>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</si>
  <si>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</si>
  <si>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</si>
  <si>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</si>
  <si>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</si>
  <si>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</si>
  <si>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</si>
  <si>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</si>
  <si>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</si>
  <si>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</si>
  <si>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</si>
  <si>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</si>
  <si>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</si>
  <si>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</si>
  <si>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</si>
  <si>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</si>
  <si>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</si>
  <si>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</si>
  <si>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</si>
  <si>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</si>
  <si>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</si>
  <si>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</si>
  <si>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</si>
  <si>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</si>
  <si>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</si>
  <si>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</si>
  <si>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</si>
  <si>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</si>
  <si>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</si>
  <si>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</si>
  <si>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</si>
  <si>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</si>
  <si>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</si>
  <si>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</si>
  <si>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</si>
  <si>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</si>
  <si>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</si>
  <si>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</si>
  <si>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</si>
  <si>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</si>
  <si>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</si>
  <si>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</si>
  <si>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</si>
  <si>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</si>
  <si>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</si>
  <si>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</si>
  <si>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</si>
  <si>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</si>
  <si>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</si>
  <si>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</si>
  <si>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</si>
  <si>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</si>
  <si>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</si>
  <si>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</si>
  <si>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</si>
  <si>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</si>
  <si>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</si>
  <si>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</si>
  <si>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</si>
  <si>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</si>
  <si>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</si>
  <si>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</si>
  <si>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</si>
  <si>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</si>
  <si>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</si>
  <si>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</si>
  <si>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</si>
  <si>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</si>
  <si>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</si>
  <si>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</si>
  <si>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</si>
  <si>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</si>
  <si>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</si>
  <si>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</si>
  <si>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</si>
  <si>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</si>
  <si>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</si>
  <si>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</si>
  <si>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</si>
  <si>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</si>
  <si>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</si>
  <si>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</si>
  <si>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</si>
  <si>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</si>
  <si>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</si>
  <si>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</si>
  <si>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</si>
  <si>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</si>
  <si>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</si>
  <si>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</si>
  <si>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</si>
  <si>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</si>
  <si>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</si>
  <si>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</si>
  <si>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</si>
  <si>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</si>
  <si>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</si>
  <si>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</si>
  <si>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</si>
  <si>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</si>
  <si>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</si>
  <si>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</si>
  <si>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</si>
  <si>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</si>
  <si>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</si>
  <si>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</si>
  <si>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</si>
  <si>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</si>
  <si>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</si>
  <si>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</si>
  <si>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</si>
  <si>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</si>
  <si>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</si>
  <si>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</si>
  <si>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</si>
  <si>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</si>
  <si>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</si>
  <si>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</si>
  <si>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</si>
  <si>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</si>
  <si>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</si>
  <si>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</si>
  <si>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</si>
  <si>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</si>
  <si>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</si>
  <si>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</si>
  <si>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</si>
  <si>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</si>
  <si>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</si>
  <si>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</si>
  <si>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</si>
  <si>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</si>
  <si>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</si>
  <si>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</si>
  <si>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</si>
  <si>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</si>
  <si>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</si>
  <si>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</si>
  <si>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</si>
  <si>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</si>
  <si>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</si>
  <si>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</si>
  <si>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</si>
  <si>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</si>
  <si>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</si>
  <si>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</si>
  <si>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</si>
  <si>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</si>
  <si>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</si>
  <si>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</si>
  <si>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</si>
  <si>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</si>
  <si>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</si>
  <si>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</si>
  <si>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</si>
  <si>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</si>
  <si>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</si>
  <si>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</si>
  <si>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</si>
  <si>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</si>
  <si>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</si>
  <si>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</si>
  <si>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</si>
  <si>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</si>
  <si>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</si>
  <si>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</si>
  <si>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</si>
  <si>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</si>
  <si>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</si>
  <si>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</si>
  <si>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</si>
  <si>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</si>
  <si>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</si>
  <si>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</si>
  <si>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</si>
  <si>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</si>
  <si>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</si>
  <si>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</si>
  <si>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</si>
  <si>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</si>
  <si>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</si>
  <si>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</si>
  <si>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</si>
  <si>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</si>
  <si>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</si>
  <si>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</si>
  <si>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</si>
  <si>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</si>
  <si>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</si>
  <si>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</si>
  <si>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</si>
  <si>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</si>
  <si>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</si>
  <si>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</si>
  <si>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</si>
  <si>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</si>
  <si>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</si>
  <si>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</si>
  <si>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</si>
  <si>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</si>
  <si>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</si>
  <si>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</si>
  <si>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</si>
  <si>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</si>
  <si>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</si>
  <si>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</si>
  <si>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</si>
  <si>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</si>
  <si>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</si>
  <si>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</si>
  <si>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</si>
  <si>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</si>
  <si>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</si>
  <si>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</si>
  <si>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</si>
  <si>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</si>
  <si>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</si>
  <si>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</si>
  <si>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</si>
  <si>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</si>
  <si>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</si>
  <si>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</si>
  <si>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</si>
  <si>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</si>
  <si>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</si>
  <si>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</si>
  <si>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</si>
  <si>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</si>
  <si>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</si>
  <si>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</si>
  <si>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</si>
  <si>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</si>
  <si>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</si>
  <si>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</si>
  <si>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</si>
  <si>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</si>
  <si>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</si>
  <si>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</si>
  <si>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</si>
  <si>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</si>
  <si>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</si>
  <si>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</si>
  <si>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</si>
  <si>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</si>
  <si>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</si>
  <si>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</si>
  <si>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</si>
  <si>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</si>
  <si>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</si>
  <si>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</si>
  <si>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</si>
  <si>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</si>
  <si>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</si>
  <si>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</si>
  <si>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</si>
  <si>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</si>
  <si>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</si>
  <si>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</si>
  <si>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</si>
  <si>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</si>
  <si>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</si>
  <si>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</si>
  <si>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</si>
  <si>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</si>
  <si>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</si>
  <si>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</si>
  <si>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</si>
  <si>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</si>
  <si>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</si>
  <si>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</si>
  <si>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</si>
  <si>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</si>
  <si>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</si>
  <si>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</si>
  <si>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</si>
  <si>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</si>
  <si>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</si>
  <si>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</si>
  <si>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</si>
  <si>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</si>
  <si>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</si>
  <si>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</si>
  <si>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</si>
  <si>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</si>
  <si>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</si>
  <si>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</si>
  <si>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</si>
  <si>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</si>
  <si>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</si>
  <si>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</si>
  <si>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</si>
  <si>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</si>
  <si>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</si>
  <si>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</si>
  <si>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</si>
  <si>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</si>
  <si>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</si>
  <si>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</si>
  <si>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</si>
  <si>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</si>
  <si>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</si>
  <si>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</si>
  <si>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</si>
  <si>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</si>
  <si>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</si>
  <si>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</si>
  <si>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</si>
  <si>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</si>
  <si>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</si>
  <si>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</si>
  <si>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</si>
  <si>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</si>
  <si>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</si>
  <si>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</si>
  <si>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</si>
  <si>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</si>
  <si>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</si>
  <si>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</si>
  <si>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</si>
  <si>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</si>
  <si>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</si>
  <si>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</si>
  <si>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</si>
  <si>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</si>
  <si>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</si>
  <si>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</si>
  <si>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</si>
  <si>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</si>
  <si>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</si>
  <si>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</si>
  <si>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</si>
  <si>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</si>
  <si>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</si>
  <si>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</si>
  <si>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</si>
  <si>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</si>
  <si>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</si>
  <si>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</si>
  <si>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</si>
  <si>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</si>
  <si>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</si>
  <si>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</si>
  <si>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</si>
  <si>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</si>
  <si>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</si>
  <si>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</si>
  <si>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</si>
  <si>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</si>
  <si>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</si>
  <si>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</si>
  <si>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</si>
  <si>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</si>
  <si>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</si>
  <si>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</si>
  <si>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</si>
  <si>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</si>
  <si>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</si>
  <si>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</si>
  <si>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</si>
  <si>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</si>
  <si>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</si>
  <si>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</si>
  <si>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</si>
  <si>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</si>
  <si>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</si>
  <si>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</si>
  <si>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</si>
  <si>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</si>
  <si>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</si>
  <si>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</si>
  <si>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</si>
  <si>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</si>
  <si>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</si>
  <si>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</si>
  <si>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</si>
  <si>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</si>
  <si>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</si>
  <si>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</si>
  <si>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</si>
  <si>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</si>
  <si>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</si>
  <si>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</si>
  <si>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</si>
  <si>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</si>
  <si>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</si>
  <si>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</si>
  <si>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</si>
  <si>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</si>
  <si>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</si>
  <si>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</si>
  <si>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</si>
  <si>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</si>
  <si>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</si>
  <si>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</si>
  <si>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</si>
  <si>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</si>
  <si>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</si>
  <si>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</si>
  <si>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</si>
  <si>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</si>
  <si>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</si>
  <si>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</si>
  <si>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</si>
  <si>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</si>
  <si>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</si>
  <si>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</si>
  <si>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</si>
  <si>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</si>
  <si>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</si>
  <si>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</si>
  <si>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</si>
  <si>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</si>
  <si>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</si>
  <si>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</si>
  <si>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</si>
  <si>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</si>
  <si>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</si>
  <si>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</si>
  <si>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</si>
  <si>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</si>
  <si>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</si>
  <si>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</si>
  <si>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</si>
  <si>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</si>
  <si>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</si>
  <si>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</si>
  <si>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</si>
  <si>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</si>
  <si>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</si>
  <si>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</si>
  <si>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</si>
  <si>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</si>
  <si>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</si>
  <si>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</si>
  <si>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</si>
  <si>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</si>
  <si>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</si>
  <si>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</si>
  <si>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</si>
  <si>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</si>
  <si>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</si>
  <si>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</si>
  <si>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</si>
  <si>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</si>
  <si>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</si>
  <si>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</si>
  <si>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</si>
  <si>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</si>
  <si>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</si>
  <si>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</si>
  <si>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</si>
  <si>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</si>
  <si>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</si>
  <si>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</si>
  <si>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</si>
  <si>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</si>
  <si>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</si>
  <si>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</si>
  <si>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</si>
  <si>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</si>
  <si>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</si>
  <si>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</si>
  <si>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</si>
  <si>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</si>
  <si>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</si>
  <si>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</si>
  <si>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</si>
  <si>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</si>
  <si>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</si>
  <si>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</si>
  <si>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</si>
  <si>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</si>
  <si>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</si>
  <si>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</si>
  <si>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</si>
  <si>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</si>
  <si>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</si>
  <si>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</si>
  <si>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</si>
  <si>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</si>
  <si>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</si>
  <si>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</si>
  <si>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</si>
  <si>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</si>
  <si>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</si>
  <si>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</si>
  <si>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</si>
  <si>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</si>
  <si>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</si>
  <si>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</si>
  <si>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</si>
  <si>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</si>
  <si>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</si>
  <si>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</si>
  <si>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</si>
  <si>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</si>
  <si>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</si>
  <si>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</si>
  <si>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</si>
  <si>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</si>
  <si>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</si>
  <si>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</si>
  <si>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</si>
  <si>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</si>
  <si>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</si>
  <si>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</si>
  <si>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</si>
  <si>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</si>
  <si>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</si>
  <si>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</si>
  <si>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</si>
  <si>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</si>
  <si>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</si>
  <si>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</si>
  <si>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</si>
  <si>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</si>
  <si>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</si>
  <si>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</si>
  <si>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</si>
  <si>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</si>
  <si>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</si>
  <si>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</si>
  <si>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</si>
  <si>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</si>
  <si>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</si>
  <si>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</si>
  <si>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</si>
  <si>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</si>
  <si>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</si>
  <si>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</si>
  <si>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</si>
  <si>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</si>
  <si>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</si>
  <si>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</si>
  <si>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</si>
  <si>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</si>
  <si>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</si>
  <si>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</si>
  <si>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</si>
  <si>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</si>
  <si>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</si>
  <si>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</si>
  <si>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</si>
  <si>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</si>
  <si>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</si>
  <si>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</si>
  <si>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</si>
  <si>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</si>
  <si>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</si>
  <si>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</si>
  <si>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</si>
  <si>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</si>
  <si>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</si>
  <si>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</si>
  <si>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</si>
  <si>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</si>
  <si>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</si>
  <si>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</si>
  <si>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</si>
  <si>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</si>
  <si>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</si>
  <si>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</si>
  <si>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</si>
  <si>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</si>
  <si>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</si>
  <si>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</si>
  <si>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</si>
  <si>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</si>
  <si>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</si>
  <si>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</si>
  <si>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</si>
  <si>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</si>
  <si>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</si>
  <si>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</si>
  <si>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</si>
  <si>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</si>
  <si>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</si>
  <si>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</si>
  <si>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</si>
  <si>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</si>
  <si>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</si>
  <si>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</si>
  <si>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</si>
  <si>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</si>
  <si>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</si>
  <si>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</si>
  <si>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</si>
  <si>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</si>
  <si>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</si>
  <si>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</si>
  <si>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</si>
  <si>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</si>
  <si>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</si>
  <si>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</si>
  <si>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</si>
  <si>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</si>
  <si>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</si>
  <si>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</si>
  <si>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</si>
  <si>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</si>
  <si>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</si>
  <si>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</si>
  <si>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</si>
  <si>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</si>
  <si>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</si>
  <si>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</si>
  <si>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</si>
  <si>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</si>
  <si>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</si>
  <si>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</si>
  <si>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</si>
  <si>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</si>
  <si>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</si>
  <si>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</si>
  <si>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</si>
  <si>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</si>
  <si>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</si>
  <si>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</si>
  <si>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</si>
  <si>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</si>
  <si>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</si>
  <si>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</si>
  <si>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</si>
  <si>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</si>
  <si>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</si>
  <si>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</si>
  <si>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</si>
  <si>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</si>
  <si>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</si>
  <si>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</si>
  <si>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</si>
  <si>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</si>
  <si>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</si>
  <si>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</si>
  <si>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</si>
  <si>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</si>
  <si>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</si>
  <si>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</si>
  <si>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</si>
  <si>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</si>
  <si>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</si>
  <si>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</si>
  <si>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</si>
  <si>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</si>
  <si>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</si>
  <si>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</si>
  <si>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</si>
  <si>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</si>
  <si>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</si>
  <si>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</si>
  <si>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</si>
  <si>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</si>
  <si>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</si>
  <si>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</si>
  <si>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</si>
  <si>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</si>
  <si>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</si>
  <si>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</si>
  <si>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</si>
  <si>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</si>
  <si>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</si>
  <si>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</si>
  <si>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</si>
  <si>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</si>
  <si>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</si>
  <si>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</si>
  <si>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</si>
  <si>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</si>
  <si>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</si>
  <si>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</si>
  <si>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</si>
  <si>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</si>
  <si>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</si>
  <si>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</si>
  <si>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</si>
  <si>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</si>
  <si>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</si>
  <si>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</si>
  <si>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</si>
  <si>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</si>
  <si>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</si>
  <si>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</si>
  <si>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</si>
  <si>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</si>
  <si>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</si>
  <si>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</si>
  <si>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</si>
  <si>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</si>
  <si>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</si>
  <si>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</si>
  <si>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</si>
  <si>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</si>
  <si>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</si>
  <si>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</si>
  <si>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</si>
  <si>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</si>
  <si>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</si>
  <si>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</si>
  <si>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</si>
  <si>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</si>
  <si>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</si>
  <si>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</si>
  <si>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</si>
  <si>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</si>
  <si>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</si>
  <si>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</si>
  <si>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</si>
  <si>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</si>
  <si>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</si>
  <si>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</si>
  <si>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</si>
  <si>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</si>
  <si>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</si>
  <si>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</si>
  <si>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</si>
  <si>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</si>
  <si>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</si>
  <si>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</si>
  <si>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</si>
  <si>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</si>
  <si>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</si>
  <si>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</si>
  <si>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</si>
  <si>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</si>
  <si>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</si>
  <si>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</si>
  <si>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</si>
  <si>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</si>
  <si>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</si>
  <si>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</si>
  <si>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</si>
  <si>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</si>
  <si>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</si>
  <si>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</si>
  <si>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</si>
  <si>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</si>
  <si>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</si>
  <si>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</si>
  <si>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</si>
  <si>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</si>
  <si>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</si>
  <si>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</si>
  <si>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</si>
  <si>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</si>
  <si>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</si>
  <si>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</si>
  <si>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</si>
  <si>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</si>
  <si>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</si>
  <si>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</si>
  <si>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</si>
  <si>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</si>
  <si>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</si>
  <si>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</si>
  <si>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</si>
  <si>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</si>
  <si>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</si>
  <si>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</si>
  <si>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</si>
  <si>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</si>
  <si>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</si>
  <si>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</si>
  <si>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</si>
  <si>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</si>
  <si>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</si>
  <si>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</si>
  <si>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</si>
  <si>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</si>
  <si>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</si>
  <si>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</si>
  <si>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</si>
  <si>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</si>
  <si>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</si>
  <si>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</si>
  <si>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</si>
  <si>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</si>
  <si>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</si>
  <si>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</si>
  <si>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</si>
  <si>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</si>
  <si>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</si>
  <si>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</si>
  <si>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</si>
  <si>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</si>
  <si>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</si>
  <si>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</si>
  <si>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</si>
  <si>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</si>
  <si>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</si>
  <si>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</si>
  <si>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</si>
  <si>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</si>
  <si>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</si>
  <si>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</si>
  <si>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</si>
  <si>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</si>
  <si>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</si>
  <si>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</si>
  <si>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</si>
  <si>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</si>
  <si>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</si>
  <si>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</si>
  <si>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</si>
  <si>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</si>
  <si>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</si>
  <si>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</si>
  <si>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</si>
  <si>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</si>
  <si>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</si>
  <si>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</si>
  <si>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</si>
  <si>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</si>
  <si>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</si>
  <si>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</si>
  <si>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</si>
  <si>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</si>
  <si>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</si>
  <si>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</si>
  <si>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</si>
  <si>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</si>
  <si>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</si>
  <si>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</si>
  <si>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</si>
  <si>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</si>
  <si>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</si>
  <si>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</si>
  <si>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</si>
  <si>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</si>
  <si>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</si>
  <si>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</si>
  <si>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</si>
  <si>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</si>
  <si>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</si>
  <si>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</si>
  <si>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</si>
  <si>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</si>
  <si>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</si>
  <si>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</si>
  <si>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</si>
  <si>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</si>
  <si>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</si>
  <si>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</si>
  <si>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</si>
  <si>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</si>
  <si>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</si>
  <si>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</si>
  <si>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</si>
  <si>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</si>
  <si>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</si>
  <si>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</si>
  <si>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</si>
  <si>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</si>
  <si>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</si>
  <si>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</si>
  <si>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</si>
  <si>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</si>
  <si>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</si>
  <si>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</si>
  <si>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</si>
  <si>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</si>
  <si>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</si>
  <si>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</si>
  <si>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</si>
  <si>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</si>
  <si>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</si>
  <si>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</si>
  <si>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</si>
  <si>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</si>
  <si>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</si>
  <si>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</si>
  <si>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</si>
  <si>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</si>
  <si>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</si>
  <si>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</si>
  <si>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</si>
  <si>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</si>
  <si>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</si>
  <si>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</si>
  <si>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</si>
  <si>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</si>
  <si>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</si>
  <si>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</si>
  <si>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</si>
  <si>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</si>
  <si>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</si>
  <si>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</si>
  <si>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</si>
  <si>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</si>
  <si>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</si>
  <si>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</si>
  <si>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</si>
  <si>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</si>
  <si>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</si>
  <si>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</si>
  <si>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</si>
  <si>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</si>
  <si>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</si>
  <si>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</si>
  <si>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</si>
  <si>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</si>
  <si>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</si>
  <si>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</si>
  <si>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</si>
  <si>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</si>
  <si>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</si>
  <si>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</si>
  <si>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</si>
  <si>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</si>
  <si>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</si>
  <si>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</si>
  <si>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</si>
  <si>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</si>
  <si>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</si>
  <si>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</si>
  <si>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</si>
  <si>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</si>
  <si>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</si>
  <si>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</si>
  <si>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</si>
  <si>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</si>
  <si>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</si>
  <si>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</si>
  <si>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</si>
  <si>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</si>
  <si>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</si>
  <si>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</si>
  <si>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</si>
  <si>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</si>
  <si>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</si>
  <si>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</si>
  <si>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</si>
  <si>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</si>
  <si>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</si>
  <si>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</si>
  <si>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</si>
  <si>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</si>
  <si>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</si>
  <si>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</si>
  <si>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</si>
  <si>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</si>
  <si>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</si>
  <si>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</si>
  <si>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</si>
  <si>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</si>
  <si>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</si>
  <si>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</si>
  <si>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</si>
  <si>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</si>
  <si>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</si>
  <si>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</si>
  <si>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</si>
  <si>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</si>
  <si>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</si>
  <si>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</si>
  <si>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</si>
  <si>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</si>
  <si>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</si>
  <si>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</si>
  <si>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</si>
  <si>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</si>
  <si>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</si>
  <si>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</si>
  <si>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</si>
  <si>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</si>
  <si>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</si>
  <si>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</si>
  <si>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</si>
  <si>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</si>
  <si>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</si>
  <si>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</si>
  <si>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</si>
  <si>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</si>
  <si>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</si>
  <si>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</si>
  <si>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</si>
  <si>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</si>
  <si>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</si>
  <si>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</si>
  <si>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</si>
  <si>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</si>
  <si>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</si>
  <si>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</si>
  <si>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</si>
  <si>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</si>
  <si>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</si>
  <si>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</si>
  <si>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</si>
  <si>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</si>
  <si>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</si>
  <si>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</si>
  <si>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</si>
  <si>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</si>
  <si>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</si>
  <si>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</si>
  <si>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</si>
  <si>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</si>
  <si>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</si>
  <si>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</si>
  <si>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</si>
  <si>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</si>
  <si>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</si>
  <si>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</si>
  <si>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</si>
  <si>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</si>
  <si>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</si>
  <si>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</si>
  <si>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</si>
  <si>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</si>
  <si>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</si>
  <si>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</si>
  <si>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</si>
  <si>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</si>
  <si>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</si>
  <si>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</si>
  <si>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</si>
  <si>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</si>
  <si>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</si>
  <si>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</si>
  <si>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</si>
  <si>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</si>
  <si>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</si>
  <si>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</si>
  <si>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</si>
  <si>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</si>
  <si>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</si>
  <si>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</si>
  <si>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</si>
  <si>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</si>
  <si>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</si>
  <si>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</si>
  <si>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</si>
  <si>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</si>
  <si>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</si>
  <si>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</si>
  <si>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</si>
  <si>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</si>
  <si>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</si>
  <si>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</si>
  <si>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</si>
  <si>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</si>
  <si>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</si>
  <si>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</si>
  <si>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</si>
  <si>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</si>
  <si>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</si>
  <si>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</si>
  <si>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</si>
  <si>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</si>
  <si>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</si>
  <si>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</si>
  <si>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</si>
  <si>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</si>
  <si>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</si>
  <si>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</si>
  <si>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</si>
  <si>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</si>
  <si>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</si>
  <si>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</si>
  <si>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</si>
  <si>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</si>
  <si>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</si>
  <si>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</si>
  <si>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</si>
  <si>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</si>
  <si>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</si>
  <si>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</si>
  <si>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</si>
  <si>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</si>
  <si>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</si>
  <si>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</si>
  <si>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</si>
  <si>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</si>
  <si>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</si>
  <si>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</si>
  <si>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</si>
  <si>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</si>
  <si>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</si>
  <si>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</si>
  <si>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</si>
  <si>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</si>
  <si>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</si>
  <si>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</si>
  <si>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</si>
  <si>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</si>
  <si>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</si>
  <si>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</si>
  <si>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</si>
  <si>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</si>
  <si>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</si>
  <si>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</si>
  <si>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</si>
  <si>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</si>
  <si>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</si>
  <si>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</si>
  <si>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</si>
  <si>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</si>
  <si>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</si>
  <si>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</si>
  <si>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</si>
  <si>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</si>
  <si>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</si>
  <si>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</si>
  <si>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</si>
  <si>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</si>
  <si>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</si>
  <si>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</si>
  <si>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</si>
  <si>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</si>
  <si>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</si>
  <si>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</si>
  <si>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</si>
  <si>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</si>
  <si>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</si>
  <si>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</si>
  <si>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</si>
  <si>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</si>
  <si>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</si>
  <si>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</si>
  <si>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</si>
  <si>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</si>
  <si>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</si>
  <si>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</si>
  <si>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</si>
  <si>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</si>
  <si>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</si>
  <si>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</si>
  <si>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</si>
  <si>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</si>
  <si>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</si>
  <si>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</si>
  <si>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</si>
  <si>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</si>
  <si>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</si>
  <si>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</si>
  <si>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</si>
  <si>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</si>
  <si>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</si>
  <si>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</si>
  <si>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</si>
  <si>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</si>
  <si>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</si>
  <si>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</si>
  <si>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</si>
  <si>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</si>
  <si>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</si>
  <si>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</si>
  <si>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</si>
  <si>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</si>
  <si>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</si>
  <si>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</si>
  <si>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</si>
  <si>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</si>
  <si>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</si>
  <si>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</si>
  <si>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</si>
  <si>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</si>
  <si>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</si>
  <si>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</si>
  <si>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</si>
  <si>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</si>
  <si>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</si>
  <si>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</si>
  <si>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</si>
  <si>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</si>
  <si>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</si>
  <si>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</si>
  <si>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</si>
  <si>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</si>
  <si>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</si>
  <si>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</si>
  <si>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</si>
  <si>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</si>
  <si>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</si>
  <si>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</si>
  <si>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</si>
  <si>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</si>
  <si>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</si>
  <si>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</si>
  <si>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</si>
  <si>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</si>
  <si>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</si>
  <si>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</si>
  <si>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</si>
  <si>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</si>
  <si>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</si>
  <si>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</si>
  <si>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</si>
  <si>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</si>
  <si>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</si>
  <si>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</si>
  <si>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</si>
  <si>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</si>
  <si>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</si>
  <si>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</si>
  <si>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</si>
  <si>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</si>
  <si>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</si>
  <si>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</si>
  <si>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</si>
  <si>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</si>
  <si>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</si>
  <si>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</si>
  <si>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</si>
  <si>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</si>
  <si>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</si>
  <si>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</si>
  <si>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</si>
  <si>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</si>
  <si>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</si>
  <si>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</si>
  <si>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</si>
  <si>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</si>
  <si>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</si>
  <si>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</si>
  <si>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</si>
  <si>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</si>
  <si>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</si>
  <si>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</si>
  <si>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</si>
  <si>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</si>
  <si>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</si>
  <si>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</si>
  <si>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</si>
  <si>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</si>
  <si>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</si>
  <si>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</si>
  <si>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</si>
  <si>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</si>
  <si>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</si>
  <si>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</si>
  <si>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</si>
  <si>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</si>
  <si>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</si>
  <si>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</si>
  <si>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</si>
  <si>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</si>
  <si>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</si>
  <si>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</si>
  <si>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</si>
  <si>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</si>
  <si>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</si>
  <si>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</si>
  <si>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</si>
  <si>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</si>
  <si>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</si>
  <si>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</si>
  <si>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</si>
  <si>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</si>
  <si>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</si>
  <si>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</si>
  <si>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</si>
  <si>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</si>
  <si>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</si>
  <si>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</si>
  <si>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</si>
  <si>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</si>
  <si>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</si>
  <si>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</si>
  <si>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</si>
  <si>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</si>
  <si>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</si>
  <si>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</si>
  <si>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</si>
  <si>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</si>
  <si>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</si>
  <si>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</si>
  <si>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</si>
  <si>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</si>
  <si>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</si>
  <si>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</si>
  <si>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</si>
  <si>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</si>
  <si>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</si>
  <si>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</si>
  <si>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</si>
  <si>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</si>
  <si>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</si>
  <si>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</si>
  <si>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</si>
  <si>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</si>
  <si>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</si>
  <si>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</si>
  <si>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</si>
  <si>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</si>
  <si>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</si>
  <si>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</si>
  <si>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</si>
  <si>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</si>
  <si>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</si>
  <si>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</si>
  <si>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</si>
  <si>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</si>
  <si>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</si>
  <si>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</si>
  <si>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</si>
  <si>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</si>
  <si>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</si>
  <si>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</si>
  <si>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</si>
  <si>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</si>
  <si>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</si>
  <si>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</si>
  <si>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</si>
  <si>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</si>
  <si>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</si>
  <si>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</si>
  <si>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</si>
  <si>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</si>
  <si>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</si>
  <si>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</si>
  <si>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</si>
  <si>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</si>
  <si>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</si>
  <si>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</si>
  <si>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</si>
  <si>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</si>
  <si>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</si>
  <si>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</si>
  <si>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</si>
  <si>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</si>
  <si>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</si>
  <si>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</si>
  <si>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</si>
  <si>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</si>
  <si>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</si>
  <si>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</si>
  <si>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</si>
  <si>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</si>
  <si>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</si>
  <si>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</si>
  <si>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</si>
  <si>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</si>
  <si>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</si>
  <si>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</si>
  <si>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</si>
  <si>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</si>
  <si>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</si>
  <si>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</si>
  <si>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</si>
  <si>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</si>
  <si>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</si>
  <si>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</si>
  <si>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</si>
  <si>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</si>
  <si>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</si>
  <si>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</si>
  <si>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</si>
  <si>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</si>
  <si>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</si>
  <si>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</si>
  <si>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</si>
  <si>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</si>
  <si>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</si>
  <si>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</si>
  <si>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</si>
  <si>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</si>
  <si>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</si>
  <si>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</si>
  <si>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</si>
  <si>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</si>
  <si>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</si>
  <si>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</si>
  <si>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</si>
  <si>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</si>
  <si>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</si>
  <si>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</si>
  <si>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</si>
  <si>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</si>
  <si>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</si>
  <si>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</si>
  <si>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</si>
  <si>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</si>
  <si>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</si>
  <si>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</si>
  <si>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</si>
  <si>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</si>
  <si>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</si>
  <si>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</si>
  <si>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</si>
  <si>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</si>
  <si>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</si>
  <si>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</si>
  <si>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</si>
  <si>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</si>
  <si>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</si>
  <si>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</si>
  <si>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</si>
  <si>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</si>
  <si>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</si>
  <si>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</si>
  <si>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</si>
  <si>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</si>
  <si>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</si>
  <si>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</si>
  <si>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</si>
  <si>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</si>
  <si>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</si>
  <si>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</si>
  <si>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</si>
  <si>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</si>
  <si>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</si>
  <si>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</si>
  <si>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</si>
  <si>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</si>
  <si>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</si>
  <si>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</si>
  <si>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</si>
  <si>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</si>
  <si>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</si>
  <si>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</si>
  <si>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</si>
  <si>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</si>
  <si>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</si>
  <si>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</si>
  <si>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</si>
  <si>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</si>
  <si>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</si>
  <si>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</si>
  <si>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</si>
  <si>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</si>
  <si>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</si>
  <si>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</si>
  <si>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</si>
  <si>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</si>
  <si>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</si>
  <si>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</si>
  <si>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</si>
  <si>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</si>
  <si>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</si>
  <si>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</si>
  <si>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</si>
  <si>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</si>
  <si>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</si>
  <si>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</si>
  <si>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</si>
  <si>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</si>
  <si>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</si>
  <si>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</si>
  <si>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</si>
  <si>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</si>
  <si>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</si>
  <si>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</si>
  <si>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</si>
  <si>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</si>
  <si>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</si>
  <si>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</si>
  <si>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</si>
  <si>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</si>
  <si>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</si>
  <si>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</si>
  <si>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</si>
  <si>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</si>
  <si>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</si>
  <si>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</si>
  <si>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</si>
  <si>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</si>
  <si>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</si>
  <si>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</si>
  <si>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</si>
  <si>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</si>
  <si>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</si>
  <si>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</si>
  <si>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</si>
  <si>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</si>
  <si>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</si>
  <si>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</si>
  <si>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</si>
  <si>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</si>
  <si>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</si>
  <si>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</si>
  <si>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</si>
  <si>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</si>
  <si>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</si>
  <si>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</si>
  <si>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</si>
  <si>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</si>
  <si>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</si>
  <si>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</si>
  <si>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</si>
  <si>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</si>
  <si>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</si>
  <si>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</si>
  <si>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</si>
  <si>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</si>
  <si>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</si>
  <si>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</si>
  <si>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</si>
  <si>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</si>
  <si>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</si>
  <si>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</si>
  <si>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</si>
  <si>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</si>
  <si>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</si>
  <si>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</si>
  <si>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</si>
  <si>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</si>
  <si>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</si>
  <si>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</si>
  <si>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</si>
  <si>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</si>
  <si>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</si>
  <si>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</si>
  <si>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</si>
  <si>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</si>
  <si>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</si>
  <si>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</si>
  <si>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</si>
  <si>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</si>
  <si>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</si>
  <si>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</si>
  <si>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</si>
  <si>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</si>
  <si>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</si>
  <si>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</si>
  <si>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</si>
  <si>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</si>
  <si>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</si>
  <si>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</si>
  <si>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</si>
  <si>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</si>
  <si>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</si>
  <si>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</si>
  <si>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</si>
  <si>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</si>
  <si>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</si>
  <si>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</si>
  <si>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</si>
  <si>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</si>
  <si>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</si>
  <si>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</si>
  <si>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</si>
  <si>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</si>
  <si>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</si>
  <si>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</si>
  <si>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</si>
  <si>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</si>
  <si>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</si>
  <si>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</si>
  <si>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</si>
  <si>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</si>
  <si>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</si>
  <si>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</si>
  <si>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</si>
  <si>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</si>
  <si>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</si>
  <si>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</si>
  <si>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</si>
  <si>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</si>
  <si>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</si>
  <si>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</si>
  <si>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</si>
  <si>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</si>
  <si>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</si>
  <si>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</si>
  <si>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</si>
  <si>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</si>
  <si>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</si>
  <si>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</si>
  <si>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</si>
  <si>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</si>
  <si>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</si>
  <si>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</si>
  <si>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</si>
  <si>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</si>
  <si>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</si>
  <si>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</si>
  <si>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</si>
  <si>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</si>
  <si>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</si>
  <si>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</si>
  <si>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</si>
  <si>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</si>
  <si>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</si>
  <si>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</si>
  <si>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</si>
  <si>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</si>
  <si>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</si>
  <si>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</si>
  <si>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</si>
  <si>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</si>
  <si>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</si>
  <si>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</si>
  <si>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</si>
  <si>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</si>
  <si>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</si>
  <si>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</si>
  <si>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</si>
  <si>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</si>
  <si>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</si>
  <si>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</si>
  <si>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</si>
  <si>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</si>
  <si>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</si>
  <si>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</si>
  <si>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</si>
  <si>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</si>
  <si>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</si>
  <si>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</si>
  <si>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</si>
  <si>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</si>
  <si>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</si>
  <si>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</si>
  <si>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</si>
  <si>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</si>
  <si>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</si>
  <si>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</si>
  <si>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</si>
  <si>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</si>
  <si>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</si>
  <si>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</si>
  <si>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</si>
  <si>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</si>
  <si>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</si>
  <si>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</si>
  <si>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</si>
  <si>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</si>
  <si>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</si>
  <si>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</si>
  <si>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</si>
  <si>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</si>
  <si>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</si>
  <si>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</si>
  <si>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</si>
  <si>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</si>
  <si>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</si>
  <si>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</si>
  <si>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</si>
  <si>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</si>
  <si>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</si>
  <si>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</si>
  <si>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</si>
  <si>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</si>
  <si>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</si>
  <si>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</si>
  <si>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</si>
  <si>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</si>
  <si>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</si>
  <si>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</si>
  <si>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</si>
  <si>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</si>
  <si>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</si>
  <si>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</si>
  <si>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</si>
  <si>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</si>
  <si>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</si>
  <si>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</si>
  <si>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</si>
  <si>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</si>
  <si>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</si>
  <si>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</si>
  <si>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</si>
  <si>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</si>
  <si>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</si>
  <si>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</si>
  <si>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</si>
  <si>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</si>
  <si>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</si>
  <si>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</si>
  <si>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</si>
  <si>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</si>
  <si>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</si>
  <si>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</si>
  <si>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</si>
  <si>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</si>
  <si>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</si>
  <si>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</si>
  <si>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</si>
  <si>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</si>
  <si>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</si>
  <si>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</si>
  <si>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</si>
  <si>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</si>
  <si>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</si>
  <si>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</si>
  <si>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</si>
  <si>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</si>
  <si>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</si>
  <si>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</si>
  <si>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</si>
  <si>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</si>
  <si>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</si>
  <si>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</si>
  <si>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</si>
  <si>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</si>
  <si>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</si>
  <si>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</si>
  <si>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</si>
  <si>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</si>
  <si>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</si>
  <si>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</si>
  <si>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</si>
  <si>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</si>
  <si>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</si>
  <si>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</si>
  <si>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</si>
  <si>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</si>
  <si>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</si>
  <si>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</si>
  <si>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</si>
  <si>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</si>
  <si>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</si>
  <si>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</si>
  <si>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</si>
  <si>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</si>
  <si>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</si>
  <si>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</si>
  <si>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</si>
  <si>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</si>
  <si>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</si>
  <si>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</si>
  <si>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</si>
  <si>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</si>
  <si>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</si>
  <si>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</si>
  <si>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</si>
  <si>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</si>
  <si>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</si>
  <si>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</si>
  <si>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</si>
  <si>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</si>
  <si>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</si>
  <si>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</si>
  <si>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</si>
  <si>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</si>
  <si>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</si>
  <si>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</si>
  <si>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</si>
  <si>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</si>
  <si>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</si>
  <si>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</si>
  <si>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</si>
  <si>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</si>
  <si>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</si>
  <si>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</si>
  <si>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</si>
  <si>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</si>
  <si>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</si>
  <si>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</si>
  <si>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</si>
  <si>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</si>
  <si>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</si>
  <si>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</si>
  <si>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</si>
  <si>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</si>
  <si>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</si>
  <si>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</si>
  <si>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</si>
  <si>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</si>
  <si>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</si>
  <si>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</si>
  <si>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</si>
  <si>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</si>
  <si>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</si>
  <si>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</si>
  <si>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</si>
  <si>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</si>
  <si>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</si>
  <si>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</si>
  <si>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</si>
  <si>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</si>
  <si>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</si>
  <si>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</si>
  <si>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</si>
  <si>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</si>
  <si>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</si>
  <si>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</si>
  <si>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</si>
  <si>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</si>
  <si>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</si>
  <si>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</si>
  <si>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</si>
  <si>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</si>
  <si>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</si>
  <si>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</si>
  <si>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</si>
  <si>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</si>
  <si>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</si>
  <si>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</si>
  <si>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</si>
  <si>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</si>
  <si>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</si>
  <si>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</si>
  <si>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</si>
  <si>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</si>
  <si>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</si>
  <si>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</si>
  <si>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</si>
  <si>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</si>
  <si>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</si>
  <si>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</si>
  <si>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</si>
  <si>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</si>
  <si>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</si>
  <si>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</si>
  <si>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</si>
  <si>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</si>
  <si>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</si>
  <si>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</si>
  <si>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</si>
  <si>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</si>
  <si>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</si>
  <si>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</si>
  <si>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</si>
  <si>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</si>
  <si>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</si>
  <si>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</si>
  <si>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</si>
  <si>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</si>
  <si>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</si>
  <si>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</si>
  <si>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</si>
  <si>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</si>
  <si>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</si>
  <si>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</si>
  <si>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</si>
  <si>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</si>
  <si>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</si>
  <si>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</si>
  <si>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</si>
  <si>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</si>
  <si>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</si>
  <si>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</si>
  <si>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</si>
  <si>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</si>
  <si>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</si>
  <si>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</si>
  <si>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</si>
  <si>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</si>
  <si>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</si>
  <si>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</si>
  <si>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</si>
  <si>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</si>
  <si>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</si>
  <si>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</si>
  <si>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</si>
  <si>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</si>
  <si>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</si>
  <si>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</si>
  <si>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</si>
  <si>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</si>
  <si>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</si>
  <si>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</si>
  <si>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</si>
  <si>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</si>
  <si>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</si>
  <si>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</si>
  <si>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</si>
  <si>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</si>
  <si>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</si>
  <si>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</si>
  <si>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</si>
  <si>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</si>
  <si>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</si>
  <si>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</si>
  <si>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</si>
  <si>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</si>
  <si>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</si>
  <si>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</si>
  <si>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</si>
  <si>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</si>
  <si>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</si>
  <si>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</si>
  <si>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</si>
  <si>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</si>
  <si>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</si>
  <si>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</si>
  <si>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</si>
  <si>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</si>
  <si>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</si>
  <si>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</si>
  <si>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</si>
  <si>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</si>
  <si>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</si>
  <si>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</si>
  <si>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</si>
  <si>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</si>
  <si>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</si>
  <si>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</si>
  <si>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</si>
  <si>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</si>
  <si>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</si>
  <si>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</si>
  <si>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</si>
  <si>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</si>
  <si>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</si>
  <si>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</si>
  <si>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</si>
  <si>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</si>
  <si>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</si>
  <si>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</si>
  <si>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</si>
  <si>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</si>
  <si>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</si>
  <si>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</si>
  <si>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</si>
  <si>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</si>
  <si>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</si>
  <si>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</si>
  <si>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</si>
  <si>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</si>
  <si>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</si>
  <si>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</si>
  <si>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</si>
  <si>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</si>
  <si>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</si>
  <si>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</si>
  <si>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</si>
  <si>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</si>
  <si>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</si>
  <si>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</si>
  <si>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</si>
  <si>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</si>
  <si>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</si>
  <si>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</si>
  <si>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</si>
  <si>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</si>
  <si>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</si>
  <si>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</si>
  <si>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</si>
  <si>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</si>
  <si>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</si>
  <si>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</si>
  <si>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</si>
  <si>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</si>
  <si>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</si>
  <si>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</si>
  <si>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</si>
  <si>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</si>
  <si>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</si>
  <si>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</si>
  <si>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</si>
  <si>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</si>
  <si>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</si>
  <si>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</si>
  <si>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</si>
  <si>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</si>
  <si>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</si>
  <si>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</si>
  <si>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</si>
  <si>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</si>
  <si>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</si>
  <si>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</si>
  <si>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</si>
  <si>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</si>
  <si>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</si>
  <si>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</si>
  <si>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</si>
  <si>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</si>
  <si>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</si>
  <si>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</si>
  <si>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</si>
  <si>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</si>
  <si>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</si>
  <si>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</si>
  <si>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</si>
  <si>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</si>
  <si>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</si>
  <si>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</si>
  <si>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</si>
  <si>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</si>
  <si>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</si>
  <si>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</si>
  <si>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</si>
  <si>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</si>
  <si>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</si>
  <si>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</si>
  <si>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</si>
  <si>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</si>
  <si>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</si>
  <si>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</si>
  <si>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</si>
  <si>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</si>
  <si>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</si>
  <si>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</si>
  <si>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</si>
  <si>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</si>
  <si>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</si>
  <si>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</si>
  <si>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</si>
  <si>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</si>
  <si>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</si>
  <si>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</si>
  <si>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</si>
  <si>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</si>
  <si>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</si>
  <si>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</si>
  <si>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</si>
  <si>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</si>
  <si>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</si>
  <si>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</si>
  <si>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</si>
  <si>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</si>
  <si>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</si>
  <si>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</si>
  <si>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</si>
  <si>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</si>
  <si>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</si>
  <si>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</si>
  <si>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</si>
  <si>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</si>
  <si>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</si>
  <si>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</si>
  <si>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</si>
  <si>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</si>
  <si>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</si>
  <si>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</si>
  <si>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</si>
  <si>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</si>
  <si>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</si>
  <si>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</si>
  <si>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</si>
  <si>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</si>
  <si>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</si>
  <si>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</si>
  <si>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</si>
  <si>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</si>
  <si>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</si>
  <si>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</si>
  <si>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</si>
  <si>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</si>
  <si>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</si>
  <si>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</si>
  <si>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</si>
  <si>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</si>
  <si>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</si>
  <si>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</si>
  <si>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</si>
  <si>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</si>
  <si>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</si>
  <si>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</si>
  <si>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</si>
  <si>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</si>
  <si>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</si>
  <si>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</si>
  <si>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</si>
  <si>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</si>
  <si>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</si>
  <si>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</si>
  <si>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</si>
  <si>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</si>
  <si>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</si>
  <si>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</si>
  <si>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</si>
  <si>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</si>
  <si>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</si>
  <si>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</si>
  <si>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</si>
  <si>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</si>
  <si>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</si>
  <si>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</si>
  <si>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</si>
  <si>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</si>
  <si>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</si>
  <si>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</si>
  <si>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</si>
  <si>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</si>
  <si>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</si>
  <si>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</si>
  <si>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</si>
  <si>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</si>
  <si>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</si>
  <si>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</si>
  <si>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</si>
  <si>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</si>
  <si>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</si>
  <si>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</si>
  <si>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</si>
  <si>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</si>
  <si>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</si>
  <si>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</si>
  <si>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</si>
  <si>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</si>
  <si>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</si>
  <si>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</si>
  <si>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</si>
  <si>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</si>
  <si>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</si>
  <si>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</si>
  <si>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</si>
  <si>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</si>
  <si>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</si>
  <si>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</si>
  <si>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</si>
  <si>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</si>
  <si>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</si>
  <si>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</si>
  <si>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</si>
  <si>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</si>
  <si>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</si>
  <si>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</si>
  <si>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</si>
  <si>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</si>
  <si>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</si>
  <si>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</si>
  <si>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</si>
  <si>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</si>
  <si>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</si>
  <si>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</si>
  <si>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</si>
  <si>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</si>
  <si>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</si>
  <si>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</si>
  <si>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</si>
  <si>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</si>
  <si>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</si>
  <si>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</si>
  <si>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</si>
  <si>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</si>
  <si>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</si>
  <si>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</si>
  <si>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</si>
  <si>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</si>
  <si>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</si>
  <si>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</si>
  <si>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</si>
  <si>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</si>
  <si>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</si>
  <si>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</si>
  <si>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</si>
  <si>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</si>
  <si>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</si>
  <si>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</si>
  <si>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</si>
  <si>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</si>
  <si>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</si>
  <si>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</si>
  <si>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</si>
  <si>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</si>
  <si>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</si>
  <si>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</si>
  <si>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</si>
  <si>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</si>
  <si>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</si>
  <si>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</si>
  <si>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</si>
  <si>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</si>
  <si>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</si>
  <si>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</si>
  <si>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</si>
  <si>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</si>
  <si>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</si>
  <si>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</si>
  <si>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</si>
  <si>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</si>
  <si>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</si>
  <si>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</si>
  <si>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</si>
  <si>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</si>
  <si>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</si>
  <si>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</si>
  <si>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</si>
  <si>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</si>
  <si>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</si>
  <si>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</si>
  <si>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</si>
  <si>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</si>
  <si>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</si>
  <si>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</si>
  <si>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</si>
  <si>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</si>
  <si>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</si>
  <si>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</si>
  <si>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</si>
  <si>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</si>
  <si>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</si>
  <si>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</si>
  <si>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</si>
  <si>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</si>
  <si>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</si>
  <si>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</si>
  <si>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</si>
  <si>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</si>
  <si>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</si>
  <si>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</si>
  <si>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</si>
  <si>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</si>
  <si>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</si>
  <si>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</si>
  <si>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</si>
  <si>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</si>
  <si>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</si>
  <si>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</si>
  <si>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</si>
  <si>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</si>
  <si>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</si>
  <si>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</si>
  <si>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</si>
  <si>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</si>
  <si>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</si>
  <si>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</si>
  <si>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</si>
  <si>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</si>
  <si>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</si>
  <si>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</si>
  <si>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</si>
  <si>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</si>
  <si>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</si>
  <si>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</si>
  <si>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</si>
  <si>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</si>
  <si>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</si>
  <si>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</si>
  <si>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</si>
  <si>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</si>
  <si>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</si>
  <si>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</si>
  <si>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</si>
  <si>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</si>
  <si>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</si>
  <si>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</si>
  <si>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</si>
  <si>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</si>
  <si>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</si>
  <si>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</si>
  <si>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</si>
  <si>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</si>
  <si>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</si>
  <si>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</si>
  <si>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</si>
  <si>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</si>
  <si>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</si>
  <si>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</si>
  <si>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</si>
  <si>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</si>
  <si>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</si>
  <si>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</si>
  <si>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</si>
  <si>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</si>
  <si>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</si>
  <si>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</si>
  <si>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</si>
  <si>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</si>
  <si>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</si>
  <si>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</si>
  <si>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</si>
  <si>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</si>
  <si>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</si>
  <si>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</si>
  <si>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</si>
  <si>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</si>
  <si>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</si>
  <si>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</si>
  <si>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</si>
  <si>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</si>
  <si>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</si>
  <si>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</si>
  <si>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</si>
  <si>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</si>
  <si>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</si>
  <si>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</si>
  <si>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</si>
  <si>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</si>
  <si>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</si>
  <si>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</si>
  <si>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</si>
  <si>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</si>
  <si>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</si>
  <si>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</si>
  <si>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</si>
  <si>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</si>
  <si>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</si>
  <si>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</si>
  <si>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</si>
  <si>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</si>
  <si>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</si>
  <si>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</si>
  <si>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</si>
  <si>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</si>
  <si>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</si>
  <si>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</si>
  <si>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</si>
  <si>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</si>
  <si>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</si>
  <si>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</si>
  <si>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</si>
  <si>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</si>
  <si>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</si>
  <si>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</si>
  <si>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</si>
  <si>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</si>
  <si>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</si>
  <si>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</si>
  <si>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</si>
  <si>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</si>
  <si>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</si>
  <si>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</si>
  <si>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</si>
  <si>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</si>
  <si>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</si>
  <si>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</si>
  <si>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</si>
  <si>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</si>
  <si>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</si>
  <si>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</si>
  <si>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</si>
  <si>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</si>
  <si>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</si>
  <si>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</si>
  <si>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</si>
  <si>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</si>
  <si>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</si>
  <si>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</si>
  <si>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</si>
  <si>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</si>
  <si>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</si>
  <si>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</si>
  <si>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</si>
  <si>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</si>
  <si>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</si>
  <si>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</si>
  <si>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</si>
  <si>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</si>
  <si>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</si>
  <si>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</si>
  <si>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</si>
  <si>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</si>
  <si>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</si>
  <si>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</si>
  <si>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</si>
  <si>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</si>
  <si>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</si>
  <si>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</si>
  <si>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</si>
  <si>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</si>
  <si>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</si>
  <si>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</si>
  <si>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</si>
  <si>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</si>
  <si>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</si>
  <si>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</si>
  <si>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</si>
  <si>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</si>
  <si>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</si>
  <si>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</si>
  <si>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</si>
  <si>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</si>
  <si>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</si>
  <si>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</si>
  <si>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</si>
  <si>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</si>
  <si>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</si>
  <si>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</si>
  <si>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</si>
  <si>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</si>
  <si>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</si>
  <si>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</si>
  <si>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</si>
  <si>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</si>
  <si>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</si>
  <si>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</si>
  <si>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</si>
  <si>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</si>
  <si>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</si>
  <si>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</si>
  <si>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</si>
  <si>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</si>
  <si>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</si>
  <si>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</si>
  <si>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</si>
  <si>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</si>
  <si>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</si>
  <si>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</si>
  <si>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</si>
  <si>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</si>
  <si>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</si>
  <si>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</si>
  <si>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</si>
  <si>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</si>
  <si>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</si>
  <si>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</si>
  <si>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</si>
  <si>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</si>
  <si>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</si>
  <si>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</si>
  <si>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</si>
  <si>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</si>
  <si>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</si>
  <si>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</si>
  <si>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</si>
  <si>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</si>
  <si>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</si>
  <si>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</si>
  <si>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</si>
  <si>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</si>
  <si>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</si>
  <si>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</si>
  <si>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</si>
  <si>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</si>
  <si>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</si>
  <si>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</si>
  <si>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</si>
  <si>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</si>
  <si>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</si>
  <si>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</si>
  <si>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</si>
  <si>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</si>
  <si>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</si>
  <si>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</si>
  <si>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</si>
  <si>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</si>
  <si>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</si>
  <si>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</si>
  <si>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</si>
  <si>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</si>
  <si>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</si>
  <si>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</si>
  <si>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</si>
  <si>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</si>
  <si>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</si>
  <si>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</si>
  <si>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</si>
  <si>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</si>
  <si>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</si>
  <si>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</si>
  <si>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</si>
  <si>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</si>
  <si>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</si>
  <si>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</si>
  <si>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</si>
  <si>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</si>
  <si>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</si>
  <si>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</si>
  <si>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</si>
  <si>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</si>
  <si>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</si>
  <si>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</si>
  <si>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</si>
  <si>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</si>
  <si>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</si>
  <si>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</si>
  <si>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</si>
  <si>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</si>
  <si>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</si>
  <si>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</si>
  <si>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</si>
  <si>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</si>
  <si>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</si>
  <si>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</si>
  <si>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</si>
  <si>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</si>
  <si>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</si>
  <si>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</si>
  <si>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</si>
  <si>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</si>
  <si>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</si>
  <si>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</si>
  <si>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</si>
  <si>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</si>
  <si>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</si>
  <si>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</si>
  <si>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</si>
  <si>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</si>
  <si>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</si>
  <si>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</si>
  <si>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</si>
  <si>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</si>
  <si>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</si>
  <si>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</si>
  <si>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</si>
  <si>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</si>
  <si>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</si>
  <si>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</si>
  <si>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</si>
  <si>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</si>
  <si>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</si>
  <si>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</si>
  <si>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</si>
  <si>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</si>
  <si>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</si>
  <si>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</si>
  <si>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</si>
  <si>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</si>
  <si>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</si>
  <si>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</si>
  <si>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</si>
  <si>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</si>
  <si>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</si>
  <si>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</si>
  <si>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</si>
  <si>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</si>
  <si>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</si>
  <si>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</si>
  <si>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</si>
  <si>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</si>
  <si>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</si>
  <si>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</si>
  <si>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</si>
  <si>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</si>
  <si>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</si>
  <si>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</si>
  <si>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</si>
  <si>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</si>
  <si>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</si>
  <si>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</si>
  <si>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</si>
  <si>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</si>
  <si>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</si>
  <si>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</si>
  <si>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</si>
  <si>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</si>
  <si>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</si>
  <si>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</si>
  <si>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</si>
  <si>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</si>
  <si>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</si>
  <si>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</si>
  <si>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</si>
  <si>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</si>
  <si>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</si>
  <si>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</si>
  <si>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</si>
  <si>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</si>
  <si>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</si>
  <si>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</si>
  <si>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</si>
  <si>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</si>
  <si>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</si>
  <si>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</si>
  <si>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</si>
  <si>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</si>
  <si>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</si>
  <si>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</si>
  <si>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</si>
  <si>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</si>
  <si>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</si>
  <si>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</si>
  <si>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</si>
  <si>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</si>
  <si>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</si>
  <si>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</si>
  <si>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</si>
  <si>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</si>
  <si>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</si>
  <si>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</si>
  <si>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</si>
  <si>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</si>
  <si>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</si>
  <si>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</si>
  <si>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</si>
  <si>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</si>
  <si>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</si>
  <si>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</si>
  <si>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</si>
  <si>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</si>
  <si>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</si>
  <si>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</si>
  <si>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</si>
  <si>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</si>
  <si>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</si>
  <si>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</si>
  <si>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</si>
  <si>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</si>
  <si>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</si>
  <si>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</si>
  <si>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</si>
  <si>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</si>
  <si>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</si>
  <si>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</si>
  <si>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</si>
  <si>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</si>
  <si>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</si>
  <si>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</si>
  <si>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</si>
  <si>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</si>
  <si>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</si>
  <si>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</si>
  <si>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</si>
  <si>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</si>
  <si>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</si>
  <si>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</si>
  <si>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</si>
  <si>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</si>
  <si>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</si>
  <si>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</si>
  <si>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</si>
  <si>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</si>
  <si>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</si>
  <si>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</si>
  <si>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</si>
  <si>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</si>
  <si>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</si>
  <si>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</si>
  <si>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</si>
  <si>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</si>
  <si>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</si>
  <si>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</si>
  <si>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</si>
  <si>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</si>
  <si>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</si>
  <si>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</si>
  <si>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</si>
  <si>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</si>
  <si>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</si>
  <si>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</si>
  <si>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</si>
  <si>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</si>
  <si>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</si>
  <si>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</si>
  <si>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</si>
  <si>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</si>
  <si>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</si>
  <si>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</si>
  <si>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</si>
  <si>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</si>
  <si>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</si>
  <si>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</si>
  <si>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</si>
  <si>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</si>
  <si>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</si>
  <si>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</si>
  <si>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</si>
  <si>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</si>
  <si>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</si>
  <si>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</si>
  <si>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</si>
  <si>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</si>
  <si>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</si>
  <si>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</si>
  <si>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</si>
  <si>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</si>
  <si>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</si>
  <si>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</si>
  <si>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</si>
  <si>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</si>
  <si>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</si>
  <si>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</si>
  <si>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</si>
  <si>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</si>
  <si>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</si>
  <si>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</si>
  <si>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</si>
  <si>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</si>
  <si>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</si>
  <si>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</si>
  <si>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</si>
  <si>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</si>
  <si>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</si>
  <si>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</si>
  <si>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</si>
  <si>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</si>
  <si>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</si>
  <si>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</si>
  <si>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</si>
  <si>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</si>
  <si>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</si>
  <si>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</si>
  <si>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</si>
  <si>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</si>
  <si>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</si>
  <si>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</si>
  <si>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</si>
  <si>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</si>
  <si>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</si>
  <si>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</si>
  <si>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</si>
  <si>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</si>
  <si>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</si>
  <si>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</si>
  <si>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</si>
  <si>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</si>
  <si>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</si>
  <si>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</si>
  <si>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</si>
  <si>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</si>
  <si>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</si>
  <si>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</si>
  <si>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</si>
  <si>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</si>
  <si>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</si>
  <si>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</si>
  <si>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</si>
  <si>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</si>
  <si>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</si>
  <si>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</si>
  <si>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</si>
  <si>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</si>
  <si>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</si>
  <si>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</si>
  <si>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</si>
  <si>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</si>
  <si>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</si>
  <si>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</si>
  <si>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</si>
  <si>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</si>
  <si>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</si>
  <si>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</si>
  <si>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</si>
  <si>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</si>
  <si>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</si>
  <si>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</si>
  <si>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</si>
  <si>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</si>
  <si>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</si>
  <si>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</si>
  <si>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</si>
  <si>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</si>
  <si>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</si>
  <si>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</si>
  <si>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</si>
  <si>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</si>
  <si>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</si>
  <si>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</si>
  <si>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</si>
  <si>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</si>
  <si>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</si>
  <si>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</si>
  <si>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</si>
  <si>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</si>
  <si>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</si>
  <si>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</si>
  <si>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</si>
  <si>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</si>
  <si>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</si>
  <si>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</si>
  <si>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</si>
  <si>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</si>
  <si>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</si>
  <si>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</si>
  <si>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</si>
  <si>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</si>
  <si>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</si>
  <si>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</si>
  <si>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</si>
  <si>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</si>
  <si>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</si>
  <si>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</si>
  <si>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</si>
  <si>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</si>
  <si>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</si>
  <si>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</si>
  <si>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</si>
  <si>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</si>
  <si>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</si>
  <si>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</si>
  <si>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</si>
  <si>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</si>
  <si>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</si>
  <si>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</si>
  <si>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</si>
  <si>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</si>
  <si>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</si>
  <si>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</si>
  <si>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</si>
  <si>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</si>
  <si>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</si>
  <si>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</si>
  <si>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</si>
  <si>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</si>
  <si>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</si>
  <si>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</si>
  <si>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</si>
  <si>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</si>
  <si>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</si>
  <si>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</si>
  <si>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</si>
  <si>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</si>
  <si>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</si>
  <si>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</si>
  <si>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</si>
  <si>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</si>
  <si>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</si>
  <si>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</si>
  <si>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</si>
  <si>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</si>
  <si>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</si>
  <si>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</si>
  <si>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</si>
  <si>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</si>
  <si>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</si>
  <si>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</si>
  <si>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</si>
  <si>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</si>
  <si>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</si>
  <si>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</si>
  <si>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</si>
  <si>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</si>
  <si>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</si>
  <si>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</si>
  <si>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</si>
  <si>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</si>
  <si>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</si>
  <si>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</si>
  <si>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</si>
  <si>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</si>
  <si>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</si>
  <si>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</si>
  <si>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</si>
  <si>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</si>
  <si>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</si>
  <si>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</si>
  <si>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</si>
  <si>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</si>
  <si>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</si>
  <si>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</si>
  <si>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</si>
  <si>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</si>
  <si>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</si>
  <si>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</si>
  <si>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</si>
  <si>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</si>
  <si>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</si>
  <si>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</si>
  <si>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</si>
  <si>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</si>
  <si>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</si>
  <si>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</si>
  <si>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</si>
  <si>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</si>
  <si>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</si>
  <si>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</si>
  <si>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</si>
  <si>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</si>
  <si>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</si>
  <si>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</si>
  <si>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</si>
  <si>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</si>
  <si>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</si>
  <si>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</si>
  <si>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</si>
  <si>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</si>
  <si>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</si>
  <si>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</si>
  <si>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</si>
  <si>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</si>
  <si>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</si>
  <si>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</si>
  <si>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</si>
  <si>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</si>
  <si>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</si>
  <si>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</si>
  <si>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</si>
  <si>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</si>
  <si>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</si>
  <si>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</si>
  <si>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</si>
  <si>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</si>
  <si>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</si>
  <si>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</si>
  <si>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</si>
  <si>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</si>
  <si>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</si>
  <si>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</si>
  <si>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</si>
  <si>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</si>
  <si>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</si>
  <si>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</si>
  <si>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</si>
  <si>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</si>
  <si>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</si>
  <si>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</si>
  <si>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</si>
  <si>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</si>
  <si>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</si>
  <si>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</si>
  <si>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</si>
  <si>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</si>
  <si>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</si>
  <si>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</si>
  <si>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</si>
  <si>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</si>
  <si>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</si>
  <si>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</si>
  <si>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</si>
  <si>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</si>
  <si>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</si>
  <si>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</si>
  <si>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</si>
  <si>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</si>
  <si>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</si>
  <si>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</si>
  <si>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</si>
  <si>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</si>
  <si>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</si>
  <si>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</si>
  <si>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</si>
  <si>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</si>
  <si>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</si>
  <si>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</si>
  <si>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</si>
  <si>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</si>
  <si>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</si>
  <si>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</si>
  <si>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</si>
  <si>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</si>
  <si>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</si>
  <si>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</si>
  <si>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</si>
  <si>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</si>
  <si>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</si>
  <si>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</si>
  <si>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</si>
  <si>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</si>
  <si>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</si>
  <si>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</si>
  <si>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</si>
  <si>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</si>
  <si>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</si>
  <si>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</si>
  <si>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</si>
  <si>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</si>
  <si>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</si>
  <si>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</si>
  <si>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</si>
  <si>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</si>
  <si>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</si>
  <si>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</si>
  <si>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</si>
  <si>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</si>
  <si>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</si>
  <si>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</si>
  <si>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</si>
  <si>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</si>
  <si>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</si>
  <si>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</si>
  <si>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</si>
  <si>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</si>
  <si>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</si>
  <si>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</si>
  <si>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</si>
  <si>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</si>
  <si>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</si>
  <si>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</si>
  <si>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</si>
  <si>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</si>
  <si>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</si>
  <si>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</si>
  <si>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</si>
  <si>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</si>
  <si>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</si>
  <si>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</si>
  <si>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</si>
  <si>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</si>
  <si>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</si>
  <si>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</si>
  <si>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</si>
  <si>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</si>
  <si>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</si>
  <si>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</si>
  <si>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</si>
  <si>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</si>
  <si>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</si>
  <si>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</si>
  <si>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</si>
  <si>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</si>
  <si>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</si>
  <si>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</si>
  <si>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</si>
  <si>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</si>
  <si>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</si>
  <si>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</si>
  <si>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</si>
  <si>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</si>
  <si>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</si>
  <si>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</si>
  <si>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</si>
  <si>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</si>
  <si>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</si>
  <si>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</si>
  <si>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</si>
  <si>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</si>
  <si>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</si>
  <si>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</si>
  <si>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</si>
  <si>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</si>
  <si>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</si>
  <si>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</si>
  <si>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</si>
  <si>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</si>
  <si>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</si>
  <si>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</si>
  <si>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</si>
  <si>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</si>
  <si>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</si>
  <si>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</si>
  <si>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</si>
  <si>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</si>
  <si>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</si>
  <si>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</si>
  <si>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</si>
  <si>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</si>
  <si>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</si>
  <si>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</si>
  <si>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</si>
  <si>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</si>
  <si>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</si>
  <si>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</si>
  <si>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</si>
  <si>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</si>
  <si>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</si>
  <si>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</si>
  <si>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</si>
  <si>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</si>
  <si>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</si>
  <si>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</si>
  <si>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</si>
  <si>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</si>
  <si>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</si>
  <si>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</si>
  <si>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</si>
  <si>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</si>
  <si>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</si>
  <si>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</si>
  <si>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</si>
  <si>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</si>
  <si>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</si>
  <si>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</si>
  <si>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</si>
  <si>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</si>
  <si>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</si>
  <si>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</si>
  <si>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</si>
  <si>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</si>
  <si>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</si>
  <si>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</si>
  <si>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</si>
  <si>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</si>
  <si>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</si>
  <si>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</si>
  <si>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</si>
  <si>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</si>
  <si>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</si>
  <si>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</si>
  <si>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</si>
  <si>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</si>
  <si>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</si>
  <si>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</si>
  <si>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</si>
  <si>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</si>
  <si>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</si>
  <si>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</si>
  <si>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</si>
  <si>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</si>
  <si>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</si>
  <si>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</si>
  <si>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</si>
  <si>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</si>
  <si>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</si>
  <si>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</si>
  <si>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</si>
  <si>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</si>
  <si>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</si>
  <si>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</si>
  <si>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</si>
  <si>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</si>
  <si>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</si>
  <si>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</si>
  <si>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</si>
  <si>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</si>
  <si>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</si>
  <si>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</si>
  <si>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</si>
  <si>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</si>
  <si>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</si>
  <si>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</si>
  <si>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</si>
  <si>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</si>
  <si>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</si>
  <si>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</si>
  <si>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</si>
  <si>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</si>
  <si>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</si>
  <si>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</si>
  <si>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</si>
  <si>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</si>
  <si>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</si>
  <si>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</si>
  <si>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</si>
  <si>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</si>
  <si>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</si>
  <si>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</si>
  <si>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</si>
  <si>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</si>
  <si>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</si>
  <si>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</si>
  <si>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</si>
  <si>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</si>
  <si>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</si>
  <si>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</si>
  <si>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</si>
  <si>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</si>
  <si>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</si>
  <si>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</si>
  <si>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</si>
  <si>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</si>
  <si>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</si>
  <si>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</si>
  <si>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</si>
  <si>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</si>
  <si>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</si>
  <si>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</si>
  <si>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</si>
  <si>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</si>
  <si>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</si>
  <si>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</si>
  <si>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</si>
  <si>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</si>
  <si>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</si>
  <si>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</si>
  <si>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</si>
  <si>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</si>
  <si>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</si>
  <si>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</si>
  <si>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</si>
  <si>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</si>
  <si>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</si>
  <si>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</si>
  <si>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</si>
  <si>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</si>
  <si>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</si>
  <si>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</si>
  <si>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</si>
  <si>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</si>
  <si>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</si>
  <si>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</si>
  <si>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</si>
  <si>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</si>
  <si>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</si>
  <si>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</si>
  <si>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</si>
  <si>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</si>
  <si>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</si>
  <si>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</si>
  <si>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</si>
  <si>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</si>
  <si>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</si>
  <si>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</si>
  <si>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</si>
  <si>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</si>
  <si>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</si>
  <si>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</si>
  <si>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</si>
  <si>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</si>
  <si>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</si>
  <si>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</si>
  <si>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</si>
  <si>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</si>
  <si>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</si>
  <si>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</si>
  <si>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</si>
  <si>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</si>
  <si>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</si>
  <si>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</si>
  <si>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</si>
  <si>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</si>
  <si>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</si>
  <si>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</si>
  <si>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</si>
  <si>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</si>
  <si>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</si>
  <si>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</si>
  <si>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</si>
  <si>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</si>
  <si>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</si>
  <si>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</si>
  <si>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</si>
  <si>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</si>
  <si>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</si>
  <si>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</si>
  <si>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</si>
  <si>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</si>
  <si>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</si>
  <si>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</si>
  <si>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</si>
  <si>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</si>
  <si>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</si>
  <si>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</si>
  <si>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</si>
  <si>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</si>
  <si>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</si>
  <si>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</si>
  <si>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</si>
  <si>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</si>
  <si>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</si>
  <si>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</si>
  <si>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</si>
  <si>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</si>
  <si>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</si>
  <si>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</si>
  <si>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</si>
  <si>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</si>
  <si>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</si>
  <si>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</si>
  <si>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</si>
  <si>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</si>
  <si>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</si>
  <si>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</si>
  <si>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</si>
  <si>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</si>
  <si>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</si>
  <si>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</si>
  <si>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</si>
  <si>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</si>
  <si>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</si>
  <si>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</si>
  <si>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</si>
  <si>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</si>
  <si>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</si>
  <si>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</si>
  <si>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</si>
  <si>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</si>
  <si>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</si>
  <si>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</si>
  <si>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</si>
  <si>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</si>
  <si>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</si>
  <si>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</si>
  <si>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</si>
  <si>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</si>
  <si>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</si>
  <si>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</si>
  <si>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</si>
  <si>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</si>
  <si>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</si>
  <si>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</si>
  <si>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</si>
  <si>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</si>
  <si>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</si>
  <si>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</si>
  <si>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</si>
  <si>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</si>
  <si>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</si>
  <si>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</si>
  <si>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</si>
  <si>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</si>
  <si>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</si>
  <si>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</si>
  <si>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</si>
  <si>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</si>
  <si>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</si>
  <si>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</si>
  <si>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</si>
  <si>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</si>
  <si>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</si>
  <si>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</si>
  <si>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</si>
  <si>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</si>
  <si>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</si>
  <si>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</si>
  <si>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</si>
  <si>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</si>
  <si>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</si>
  <si>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</si>
  <si>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</si>
  <si>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</si>
  <si>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</si>
  <si>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</si>
  <si>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</si>
  <si>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</si>
  <si>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</si>
  <si>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</si>
  <si>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</si>
  <si>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</si>
  <si>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</si>
  <si>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</si>
  <si>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</si>
  <si>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</si>
  <si>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</si>
  <si>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</si>
  <si>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</si>
  <si>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</si>
  <si>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</si>
  <si>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</si>
  <si>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</si>
  <si>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</si>
  <si>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</si>
  <si>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</si>
  <si>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</si>
  <si>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</si>
  <si>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</si>
  <si>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</si>
  <si>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</si>
  <si>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</si>
  <si>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</si>
  <si>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</si>
  <si>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</si>
  <si>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</si>
  <si>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</si>
  <si>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</si>
  <si>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</si>
  <si>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</si>
  <si>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</si>
  <si>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</si>
  <si>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</si>
  <si>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</si>
  <si>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</si>
  <si>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</si>
  <si>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</si>
  <si>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</si>
  <si>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</si>
  <si>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</si>
  <si>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</si>
  <si>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</si>
  <si>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</si>
  <si>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</si>
  <si>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</si>
  <si>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</si>
  <si>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</si>
  <si>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</si>
  <si>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</si>
  <si>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</si>
  <si>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</si>
  <si>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</si>
  <si>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</si>
  <si>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</si>
  <si>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</si>
  <si>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</si>
  <si>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</si>
  <si>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</si>
  <si>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</si>
  <si>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</si>
  <si>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</si>
  <si>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</si>
  <si>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</si>
  <si>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</si>
  <si>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</si>
  <si>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</si>
  <si>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</si>
  <si>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</si>
  <si>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</si>
  <si>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</si>
  <si>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</si>
  <si>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</si>
  <si>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</si>
  <si>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</si>
  <si>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</si>
  <si>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</si>
  <si>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</si>
  <si>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</si>
  <si>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</si>
  <si>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</si>
  <si>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</si>
  <si>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</si>
  <si>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</si>
  <si>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</si>
  <si>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</si>
  <si>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</si>
  <si>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</si>
  <si>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</si>
  <si>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</si>
  <si>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</si>
  <si>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</si>
  <si>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</si>
  <si>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</si>
  <si>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</si>
  <si>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</si>
  <si>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</si>
  <si>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</si>
  <si>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</si>
  <si>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</si>
  <si>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</si>
  <si>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</si>
  <si>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</si>
  <si>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</si>
  <si>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</si>
  <si>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</si>
  <si>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</si>
  <si>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</si>
  <si>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</si>
  <si>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</si>
  <si>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</si>
  <si>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</si>
  <si>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</si>
  <si>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</si>
  <si>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</si>
  <si>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</si>
  <si>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</si>
  <si>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</si>
  <si>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</si>
  <si>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</si>
  <si>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</si>
  <si>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</si>
  <si>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</si>
  <si>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</si>
  <si>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</si>
  <si>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</si>
  <si>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</si>
  <si>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</si>
  <si>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</si>
  <si>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</si>
  <si>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</si>
  <si>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</si>
  <si>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</si>
  <si>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</si>
  <si>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</si>
  <si>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</si>
  <si>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</si>
  <si>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</si>
  <si>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</si>
  <si>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</si>
  <si>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</si>
  <si>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</si>
  <si>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</si>
  <si>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</si>
  <si>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</si>
  <si>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</si>
  <si>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</si>
  <si>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</si>
  <si>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</si>
  <si>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</si>
  <si>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</si>
  <si>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</si>
  <si>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</si>
  <si>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</si>
  <si>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</si>
  <si>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</si>
  <si>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</si>
  <si>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</si>
  <si>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</si>
  <si>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</si>
  <si>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</si>
  <si>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</si>
  <si>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</si>
  <si>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</si>
  <si>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</si>
  <si>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</si>
  <si>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</si>
  <si>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</si>
  <si>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</si>
  <si>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</si>
  <si>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</si>
  <si>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</si>
  <si>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</si>
  <si>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</si>
  <si>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</si>
  <si>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</si>
  <si>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</si>
  <si>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</si>
  <si>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</si>
  <si>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</si>
  <si>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</si>
  <si>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</si>
  <si>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</si>
  <si>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</si>
  <si>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</si>
  <si>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</si>
  <si>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</si>
  <si>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</si>
  <si>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</si>
  <si>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</si>
  <si>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</si>
  <si>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</si>
  <si>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</si>
  <si>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</si>
  <si>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</si>
  <si>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</si>
  <si>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</si>
  <si>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</si>
  <si>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</si>
  <si>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</si>
  <si>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</si>
  <si>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</si>
  <si>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</si>
  <si>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</si>
  <si>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</si>
  <si>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</si>
  <si>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</si>
  <si>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</si>
  <si>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</si>
  <si>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</si>
  <si>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</si>
  <si>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</si>
  <si>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</si>
  <si>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</si>
  <si>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</si>
  <si>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</si>
  <si>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</si>
  <si>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</si>
  <si>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</si>
  <si>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</si>
  <si>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</si>
  <si>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</si>
  <si>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</si>
  <si>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</si>
  <si>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</si>
  <si>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</si>
  <si>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</si>
  <si>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</si>
  <si>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</si>
  <si>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</si>
  <si>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</si>
  <si>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</si>
  <si>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</si>
  <si>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</si>
  <si>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</si>
  <si>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</si>
  <si>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</si>
  <si>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</si>
  <si>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</si>
  <si>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</si>
  <si>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</si>
  <si>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</si>
  <si>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</si>
  <si>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</si>
  <si>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</si>
  <si>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</si>
  <si>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</si>
  <si>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</si>
  <si>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</si>
  <si>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</si>
  <si>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</si>
  <si>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</si>
  <si>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</si>
  <si>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</si>
  <si>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</si>
  <si>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</si>
  <si>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</si>
  <si>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</si>
  <si>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</si>
  <si>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</si>
  <si>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</si>
  <si>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</si>
  <si>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</si>
  <si>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</si>
  <si>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</si>
  <si>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</si>
  <si>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</si>
  <si>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</si>
  <si>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</si>
  <si>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</si>
  <si>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</si>
  <si>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</si>
  <si>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</si>
  <si>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</si>
  <si>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</si>
  <si>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</si>
  <si>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</si>
  <si>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</si>
  <si>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</si>
  <si>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</si>
  <si>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</si>
  <si>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</si>
  <si>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</si>
  <si>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</si>
  <si>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</si>
  <si>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</si>
  <si>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</si>
  <si>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</si>
  <si>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</si>
  <si>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</si>
  <si>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</si>
  <si>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</si>
  <si>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</si>
  <si>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</si>
  <si>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</si>
  <si>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</si>
  <si>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</si>
  <si>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</si>
  <si>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</si>
  <si>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</si>
  <si>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</si>
  <si>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</si>
  <si>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</si>
  <si>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</si>
  <si>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</si>
  <si>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</si>
  <si>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</si>
  <si>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</si>
  <si>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</si>
  <si>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</si>
  <si>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</si>
  <si>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</si>
  <si>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</si>
  <si>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</si>
  <si>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</si>
  <si>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</si>
  <si>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</si>
  <si>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</si>
  <si>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</si>
  <si>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</si>
  <si>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</si>
  <si>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</si>
  <si>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</si>
  <si>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</si>
  <si>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</si>
  <si>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</si>
  <si>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</si>
  <si>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</si>
  <si>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</si>
  <si>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</si>
  <si>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</si>
  <si>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</si>
  <si>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</si>
  <si>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</si>
  <si>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</si>
  <si>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</si>
  <si>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</si>
  <si>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</si>
  <si>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</si>
  <si>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</si>
  <si>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</si>
  <si>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</si>
  <si>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</si>
  <si>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</si>
  <si>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</si>
  <si>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</si>
  <si>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</si>
  <si>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</si>
  <si>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</si>
  <si>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</si>
  <si>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</si>
  <si>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</si>
  <si>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</si>
  <si>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</si>
  <si>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</si>
  <si>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</si>
  <si>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</si>
  <si>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</si>
  <si>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</si>
  <si>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</si>
  <si>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</si>
  <si>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</si>
  <si>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</si>
  <si>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</si>
  <si>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</si>
  <si>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</si>
  <si>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</si>
  <si>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</si>
  <si>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</si>
  <si>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</si>
  <si>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</si>
  <si>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</si>
  <si>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</si>
  <si>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</si>
  <si>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</si>
  <si>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</si>
  <si>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</si>
  <si>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</si>
  <si>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</si>
  <si>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</si>
  <si>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</si>
  <si>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</si>
  <si>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</si>
  <si>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</si>
  <si>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</si>
  <si>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</si>
  <si>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</si>
  <si>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</si>
  <si>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</si>
  <si>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</si>
  <si>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</si>
  <si>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</si>
  <si>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</si>
  <si>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</si>
  <si>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</si>
  <si>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</si>
  <si>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</si>
  <si>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</si>
  <si>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</si>
  <si>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</si>
  <si>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</si>
  <si>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</si>
  <si>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</si>
  <si>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</si>
  <si>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</si>
  <si>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</si>
  <si>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</si>
  <si>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</si>
  <si>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</si>
  <si>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</si>
  <si>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</si>
  <si>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</si>
  <si>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</si>
  <si>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</si>
  <si>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</si>
  <si>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</si>
  <si>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</si>
  <si>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</si>
  <si>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</si>
  <si>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</si>
  <si>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</si>
  <si>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</si>
  <si>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</si>
  <si>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</si>
  <si>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</si>
  <si>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</si>
  <si>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</si>
  <si>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</si>
  <si>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</si>
  <si>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</si>
  <si>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</si>
  <si>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</si>
  <si>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</si>
  <si>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</si>
  <si>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</si>
  <si>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</si>
  <si>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</si>
  <si>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</si>
  <si>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</si>
  <si>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</si>
  <si>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</si>
  <si>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</si>
  <si>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</si>
  <si>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</si>
  <si>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</si>
  <si>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</si>
  <si>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</si>
  <si>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</si>
  <si>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</si>
  <si>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</si>
  <si>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</si>
  <si>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</si>
  <si>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</si>
  <si>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</si>
  <si>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</si>
  <si>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</si>
  <si>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</si>
  <si>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</si>
  <si>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</si>
  <si>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</si>
  <si>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</si>
  <si>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</si>
  <si>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</si>
  <si>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</si>
  <si>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</si>
  <si>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</si>
  <si>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</si>
  <si>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</si>
  <si>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</si>
  <si>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</si>
  <si>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</si>
  <si>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</si>
  <si>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</si>
  <si>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</si>
  <si>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</si>
  <si>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</si>
  <si>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</si>
  <si>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</si>
  <si>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</si>
  <si>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</si>
  <si>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</si>
  <si>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</si>
  <si>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</si>
  <si>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</si>
  <si>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</si>
  <si>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</si>
  <si>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</si>
  <si>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</si>
  <si>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</si>
  <si>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</si>
  <si>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</si>
  <si>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</si>
  <si>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</si>
  <si>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</si>
  <si>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</si>
  <si>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</si>
  <si>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</si>
  <si>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</si>
  <si>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</si>
  <si>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</si>
  <si>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</si>
  <si>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</si>
  <si>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</si>
  <si>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</si>
  <si>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</si>
  <si>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</si>
  <si>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</si>
  <si>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</si>
  <si>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</si>
  <si>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</si>
  <si>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</si>
  <si>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</si>
  <si>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</si>
  <si>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</si>
  <si>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</si>
  <si>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</si>
  <si>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</si>
  <si>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</si>
  <si>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</si>
  <si>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</si>
  <si>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</si>
  <si>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</si>
  <si>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</si>
  <si>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</si>
  <si>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</si>
  <si>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</si>
  <si>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</si>
  <si>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</si>
  <si>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</si>
  <si>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</si>
  <si>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</si>
  <si>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</si>
  <si>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</si>
  <si>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</si>
  <si>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</si>
  <si>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</si>
  <si>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</si>
  <si>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</si>
  <si>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</si>
  <si>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</si>
  <si>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</si>
  <si>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</si>
  <si>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</si>
  <si>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</si>
  <si>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</si>
  <si>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</si>
  <si>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</si>
  <si>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</si>
  <si>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</si>
  <si>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</si>
  <si>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</si>
  <si>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</si>
  <si>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</si>
  <si>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</si>
  <si>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</si>
  <si>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</si>
  <si>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</si>
  <si>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</si>
  <si>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</si>
  <si>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</si>
  <si>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</si>
  <si>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</si>
  <si>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</si>
  <si>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</si>
  <si>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</si>
  <si>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</si>
  <si>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</si>
  <si>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</si>
  <si>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</si>
  <si>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</si>
  <si>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</si>
  <si>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</si>
  <si>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</si>
  <si>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</si>
  <si>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</si>
  <si>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</si>
  <si>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</si>
  <si>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</si>
  <si>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</si>
  <si>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</si>
  <si>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</si>
  <si>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</si>
  <si>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</si>
  <si>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</si>
  <si>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</si>
  <si>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</si>
  <si>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</si>
  <si>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</si>
  <si>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</si>
  <si>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</si>
  <si>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</si>
  <si>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</si>
  <si>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</si>
  <si>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</si>
  <si>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</si>
  <si>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</si>
  <si>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</si>
  <si>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</si>
  <si>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</si>
  <si>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</si>
  <si>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</si>
  <si>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</si>
  <si>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</si>
  <si>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</si>
  <si>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</si>
  <si>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</si>
  <si>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</si>
  <si>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</si>
  <si>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</si>
  <si>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</si>
  <si>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</si>
  <si>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</si>
  <si>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</si>
  <si>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</si>
  <si>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</si>
  <si>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</si>
  <si>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</si>
  <si>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</si>
  <si>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</si>
  <si>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</si>
  <si>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</si>
  <si>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</si>
  <si>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</si>
  <si>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</si>
  <si>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</si>
  <si>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</si>
  <si>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</si>
  <si>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</si>
  <si>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</si>
  <si>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</si>
  <si>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</si>
  <si>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</si>
  <si>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</si>
  <si>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</si>
  <si>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</si>
  <si>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</si>
  <si>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</si>
  <si>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</si>
  <si>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</si>
  <si>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</si>
  <si>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</si>
  <si>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</si>
  <si>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</si>
  <si>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</si>
  <si>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</si>
  <si>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</si>
  <si>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</si>
  <si>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</si>
  <si>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</si>
  <si>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</si>
  <si>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</si>
  <si>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</si>
  <si>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</si>
  <si>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</si>
  <si>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</si>
  <si>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</si>
  <si>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</si>
  <si>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</si>
  <si>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</si>
  <si>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</si>
  <si>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</si>
  <si>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</si>
  <si>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</si>
  <si>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</si>
  <si>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</si>
  <si>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</si>
  <si>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</si>
  <si>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</si>
  <si>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</si>
  <si>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</si>
  <si>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</si>
  <si>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</si>
  <si>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</si>
  <si>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</si>
  <si>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</si>
  <si>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</si>
  <si>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</si>
  <si>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</si>
  <si>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</si>
  <si>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</si>
  <si>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</si>
  <si>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</si>
  <si>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</si>
  <si>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</si>
  <si>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</si>
  <si>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</si>
  <si>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</si>
  <si>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</si>
  <si>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</si>
  <si>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</si>
  <si>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</si>
  <si>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</si>
  <si>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</si>
  <si>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</si>
  <si>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</si>
  <si>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</si>
  <si>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</si>
  <si>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</si>
  <si>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</si>
  <si>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</si>
  <si>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</si>
  <si>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</si>
  <si>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</si>
  <si>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</si>
  <si>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</si>
  <si>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</si>
  <si>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</si>
  <si>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</si>
  <si>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</si>
  <si>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</si>
  <si>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</si>
  <si>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</si>
  <si>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</si>
  <si>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</si>
  <si>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</si>
  <si>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</si>
  <si>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</si>
  <si>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</si>
  <si>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</si>
  <si>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</si>
  <si>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</si>
  <si>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</si>
  <si>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</si>
  <si>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</si>
  <si>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</si>
  <si>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</si>
  <si>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</si>
  <si>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</si>
  <si>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</si>
  <si>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</si>
  <si>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</si>
  <si>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</si>
  <si>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</si>
  <si>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</si>
  <si>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</si>
  <si>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</si>
  <si>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</si>
  <si>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</si>
  <si>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</si>
  <si>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</si>
  <si>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</si>
  <si>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</si>
  <si>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</si>
  <si>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</si>
  <si>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</si>
  <si>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</si>
  <si>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</si>
  <si>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</si>
  <si>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</si>
  <si>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</si>
  <si>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</si>
  <si>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</si>
  <si>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</si>
  <si>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</si>
  <si>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</si>
  <si>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</si>
  <si>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</si>
  <si>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</si>
  <si>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</si>
  <si>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</si>
  <si>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</si>
  <si>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</si>
  <si>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</si>
  <si>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</si>
  <si>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</si>
  <si>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</si>
  <si>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</si>
  <si>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</si>
  <si>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</si>
  <si>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</si>
  <si>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</si>
  <si>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</si>
  <si>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</si>
  <si>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</si>
  <si>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</si>
  <si>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</si>
  <si>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</si>
  <si>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</si>
  <si>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</si>
  <si>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</si>
  <si>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</si>
  <si>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</si>
  <si>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</si>
  <si>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</si>
  <si>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</si>
  <si>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</si>
  <si>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</si>
  <si>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</si>
  <si>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</si>
  <si>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</si>
  <si>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</si>
  <si>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</si>
  <si>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</si>
  <si>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</si>
  <si>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</si>
  <si>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</si>
  <si>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</si>
  <si>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</si>
  <si>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</si>
  <si>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</si>
  <si>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</si>
  <si>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</si>
  <si>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</si>
  <si>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</si>
  <si>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</si>
  <si>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</si>
  <si>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</si>
  <si>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</si>
  <si>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</si>
  <si>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</si>
  <si>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</si>
  <si>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</si>
  <si>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</si>
  <si>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</si>
  <si>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</si>
  <si>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</si>
  <si>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</si>
  <si>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</si>
  <si>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</si>
  <si>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</si>
  <si>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</si>
  <si>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</si>
  <si>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</si>
  <si>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</si>
  <si>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</si>
  <si>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</si>
  <si>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</si>
  <si>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</si>
  <si>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</si>
  <si>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</si>
  <si>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</si>
  <si>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</si>
  <si>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</si>
  <si>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</si>
  <si>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</si>
  <si>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</si>
  <si>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</si>
  <si>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</si>
  <si>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</si>
  <si>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</si>
  <si>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</si>
  <si>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</si>
  <si>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</si>
  <si>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</si>
  <si>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</si>
  <si>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</si>
  <si>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</si>
  <si>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</si>
  <si>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</si>
  <si>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</si>
  <si>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</si>
  <si>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</si>
  <si>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</si>
  <si>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</si>
  <si>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</si>
  <si>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</si>
  <si>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</si>
  <si>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</si>
  <si>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</si>
  <si>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</si>
  <si>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</si>
  <si>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</si>
  <si>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</si>
  <si>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</si>
  <si>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</si>
  <si>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</si>
  <si>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</si>
  <si>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</si>
  <si>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</si>
  <si>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</si>
  <si>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</si>
  <si>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</si>
  <si>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</si>
  <si>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</si>
  <si>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</si>
  <si>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</si>
  <si>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</si>
  <si>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</si>
  <si>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</si>
  <si>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</si>
  <si>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</si>
  <si>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</si>
  <si>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</si>
  <si>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</si>
  <si>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</si>
  <si>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</si>
  <si>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</si>
  <si>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</si>
  <si>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</si>
  <si>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</si>
  <si>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</si>
  <si>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</si>
  <si>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</si>
  <si>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</si>
  <si>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</si>
  <si>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</si>
  <si>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</si>
  <si>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</si>
  <si>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</si>
  <si>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</si>
  <si>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</si>
  <si>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</si>
  <si>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</si>
  <si>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</si>
  <si>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</si>
  <si>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</si>
  <si>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</si>
  <si>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</si>
  <si>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</si>
  <si>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</si>
  <si>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</si>
  <si>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</si>
  <si>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</si>
  <si>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</si>
  <si>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</si>
  <si>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</si>
  <si>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</si>
  <si>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</si>
  <si>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</si>
  <si>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</si>
  <si>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</si>
  <si>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</si>
  <si>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</si>
  <si>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</si>
  <si>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</si>
  <si>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</si>
  <si>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</si>
  <si>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</si>
  <si>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</si>
  <si>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</si>
  <si>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</si>
  <si>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</si>
  <si>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</si>
  <si>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</si>
  <si>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</si>
  <si>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</si>
  <si>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</si>
  <si>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</si>
  <si>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</si>
  <si>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</si>
  <si>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</si>
  <si>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</si>
  <si>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</si>
  <si>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</si>
  <si>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</si>
  <si>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</si>
  <si>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</si>
  <si>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</si>
  <si>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</si>
  <si>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</si>
  <si>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</si>
  <si>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</si>
  <si>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</si>
  <si>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</si>
  <si>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</si>
  <si>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</si>
  <si>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</si>
  <si>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</si>
  <si>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</si>
  <si>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</si>
  <si>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</si>
  <si>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</si>
  <si>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</si>
  <si>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</si>
  <si>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</si>
  <si>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</si>
  <si>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</si>
  <si>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</si>
  <si>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</si>
  <si>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</si>
  <si>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</si>
  <si>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</si>
  <si>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</si>
  <si>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</si>
  <si>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</si>
  <si>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</si>
  <si>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</si>
  <si>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</si>
  <si>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</si>
  <si>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</si>
  <si>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</si>
  <si>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</si>
  <si>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</si>
  <si>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</si>
  <si>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</si>
  <si>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</si>
  <si>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</si>
  <si>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</si>
  <si>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</si>
  <si>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</si>
  <si>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</si>
  <si>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</si>
  <si>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</si>
  <si>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</si>
  <si>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</si>
  <si>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</si>
  <si>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</si>
  <si>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</si>
  <si>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</si>
  <si>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</si>
  <si>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</si>
  <si>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</si>
  <si>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</si>
  <si>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</si>
  <si>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</si>
  <si>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</si>
  <si>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</si>
  <si>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</si>
  <si>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</si>
  <si>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</si>
  <si>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</si>
  <si>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</si>
  <si>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</si>
  <si>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</si>
  <si>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</si>
  <si>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</si>
  <si>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</si>
  <si>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</si>
  <si>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</si>
  <si>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</si>
  <si>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</si>
  <si>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</si>
  <si>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</si>
  <si>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</si>
  <si>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</si>
  <si>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</si>
  <si>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</si>
  <si>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</si>
  <si>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</si>
  <si>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</si>
  <si>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</si>
  <si>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</si>
  <si>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</si>
  <si>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</si>
  <si>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</si>
  <si>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</si>
  <si>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</si>
  <si>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</si>
  <si>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</si>
  <si>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</si>
  <si>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</si>
  <si>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</si>
  <si>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</si>
  <si>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</si>
  <si>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</si>
  <si>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</si>
  <si>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</si>
  <si>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</si>
  <si>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</si>
  <si>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</si>
  <si>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</si>
  <si>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</si>
  <si>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</si>
  <si>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</si>
  <si>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</si>
  <si>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</si>
  <si>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</si>
  <si>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</si>
  <si>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</si>
  <si>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</si>
  <si>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</si>
  <si>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</si>
  <si>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</si>
  <si>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</si>
  <si>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</si>
  <si>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</si>
  <si>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</si>
  <si>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</si>
  <si>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</si>
  <si>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</si>
  <si>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</si>
  <si>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</si>
  <si>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</si>
  <si>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</si>
  <si>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</si>
  <si>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</si>
  <si>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</si>
  <si>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</si>
  <si>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</si>
  <si>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</si>
  <si>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</si>
  <si>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</si>
  <si>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</si>
  <si>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</si>
  <si>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</si>
  <si>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</si>
  <si>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</si>
  <si>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</si>
  <si>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</si>
  <si>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</si>
  <si>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</si>
  <si>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</si>
  <si>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</si>
  <si>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</si>
  <si>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</si>
  <si>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</si>
  <si>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</si>
  <si>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</si>
  <si>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</si>
  <si>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</si>
  <si>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</si>
  <si>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</si>
  <si>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</si>
  <si>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</si>
  <si>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</si>
  <si>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</si>
  <si>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</si>
  <si>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</si>
  <si>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</si>
  <si>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</si>
  <si>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</si>
  <si>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</si>
  <si>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</si>
  <si>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</si>
  <si>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</si>
  <si>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</si>
  <si>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</si>
  <si>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</si>
  <si>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</si>
  <si>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</si>
  <si>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</si>
  <si>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</si>
  <si>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</si>
  <si>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</si>
  <si>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</si>
  <si>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</si>
  <si>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</si>
  <si>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</si>
  <si>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</si>
  <si>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</si>
  <si>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</si>
  <si>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</si>
  <si>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</si>
  <si>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</si>
  <si>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</si>
  <si>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</si>
  <si>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</si>
  <si>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</si>
  <si>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</si>
  <si>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</si>
  <si>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</si>
  <si>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</si>
  <si>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</si>
  <si>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</si>
  <si>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</si>
  <si>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</si>
  <si>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</si>
  <si>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</si>
  <si>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</si>
  <si>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</si>
  <si>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</si>
  <si>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</si>
  <si>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</si>
  <si>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</si>
  <si>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</si>
  <si>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</si>
  <si>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</si>
  <si>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</si>
  <si>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</si>
  <si>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</si>
  <si>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</si>
  <si>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</si>
  <si>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</si>
  <si>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</si>
  <si>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</si>
  <si>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</si>
  <si>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</si>
  <si>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</si>
  <si>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</si>
  <si>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</si>
  <si>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</si>
  <si>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</si>
  <si>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</si>
  <si>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</si>
  <si>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</si>
  <si>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</si>
  <si>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</si>
  <si>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</si>
  <si>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</si>
  <si>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</si>
  <si>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</si>
  <si>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</si>
  <si>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</si>
  <si>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</si>
  <si>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</si>
  <si>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</si>
  <si>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</si>
  <si>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</si>
  <si>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</si>
  <si>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</si>
  <si>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</si>
  <si>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</si>
  <si>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</si>
  <si>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</si>
  <si>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</si>
  <si>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</si>
  <si>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</si>
  <si>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</si>
  <si>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</si>
  <si>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</si>
  <si>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</si>
  <si>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</si>
  <si>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</si>
  <si>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</si>
  <si>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</si>
  <si>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</si>
  <si>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</si>
  <si>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</si>
  <si>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</si>
  <si>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</si>
  <si>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</si>
  <si>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</si>
  <si>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</si>
  <si>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</si>
  <si>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</si>
  <si>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</si>
  <si>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</si>
  <si>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</si>
  <si>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</si>
  <si>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</si>
  <si>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</si>
  <si>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</si>
  <si>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</si>
  <si>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</si>
  <si>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</si>
  <si>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</si>
  <si>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</si>
  <si>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</si>
  <si>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</si>
  <si>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</si>
  <si>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</si>
  <si>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</si>
  <si>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</si>
  <si>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</si>
  <si>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</si>
  <si>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</si>
  <si>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</si>
  <si>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</si>
  <si>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</si>
  <si>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</si>
  <si>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</si>
  <si>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</si>
  <si>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</si>
  <si>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</si>
  <si>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</si>
  <si>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</si>
  <si>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</si>
  <si>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</si>
  <si>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</si>
  <si>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</si>
  <si>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</si>
  <si>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</si>
  <si>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</si>
  <si>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</si>
  <si>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</si>
  <si>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</si>
  <si>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</si>
  <si>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</si>
  <si>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</si>
  <si>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</si>
  <si>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</si>
  <si>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</si>
  <si>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</si>
  <si>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</si>
  <si>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</si>
  <si>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</si>
  <si>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</si>
  <si>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</si>
  <si>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</si>
  <si>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</si>
  <si>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</si>
  <si>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</si>
  <si>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</si>
  <si>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</si>
  <si>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</si>
  <si>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</si>
  <si>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</si>
  <si>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</si>
  <si>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</si>
  <si>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</si>
  <si>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</si>
  <si>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</si>
  <si>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</si>
  <si>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</si>
  <si>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</si>
  <si>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</si>
  <si>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</si>
  <si>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</si>
  <si>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</si>
  <si>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</si>
  <si>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</si>
  <si>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</si>
  <si>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</si>
  <si>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</si>
  <si>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</si>
  <si>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</si>
  <si>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</si>
  <si>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</si>
  <si>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</si>
  <si>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</si>
  <si>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</si>
  <si>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</si>
  <si>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</si>
  <si>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</si>
  <si>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</si>
  <si>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</si>
  <si>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</si>
  <si>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</si>
  <si>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</si>
  <si>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</si>
  <si>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</si>
  <si>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</si>
  <si>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</si>
  <si>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</si>
  <si>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</si>
  <si>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</si>
  <si>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</si>
  <si>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</si>
  <si>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</si>
  <si>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</si>
  <si>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</si>
  <si>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</si>
  <si>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</si>
  <si>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</si>
  <si>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</si>
  <si>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</si>
  <si>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</si>
  <si>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</si>
  <si>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</si>
  <si>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</si>
  <si>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</si>
  <si>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</si>
  <si>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</si>
  <si>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</si>
  <si>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</si>
  <si>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</si>
  <si>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</si>
  <si>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</si>
  <si>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</si>
  <si>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</si>
  <si>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</si>
  <si>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</si>
  <si>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</si>
  <si>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</si>
  <si>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</si>
  <si>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</si>
  <si>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</si>
  <si>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</si>
  <si>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</si>
  <si>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</si>
  <si>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</si>
  <si>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</si>
  <si>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</si>
  <si>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</si>
  <si>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</si>
  <si>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</si>
  <si>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</si>
  <si>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</si>
  <si>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</si>
  <si>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</si>
  <si>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</si>
  <si>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</si>
  <si>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</si>
  <si>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</si>
  <si>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</si>
  <si>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</si>
  <si>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</si>
  <si>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</si>
  <si>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</si>
  <si>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</si>
  <si>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</si>
  <si>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</si>
  <si>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</si>
  <si>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</si>
  <si>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</si>
  <si>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</si>
  <si>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</si>
  <si>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</si>
  <si>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</si>
  <si>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</si>
  <si>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</si>
  <si>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</si>
  <si>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</si>
  <si>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</si>
  <si>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</si>
  <si>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</si>
  <si>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</si>
  <si>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</si>
  <si>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</si>
  <si>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</si>
  <si>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</si>
  <si>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</si>
  <si>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</si>
  <si>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</si>
  <si>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</si>
  <si>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</si>
  <si>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</si>
  <si>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</si>
  <si>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</si>
  <si>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</si>
  <si>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</si>
  <si>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</si>
  <si>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</si>
  <si>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</si>
  <si>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</si>
  <si>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</si>
  <si>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</si>
  <si>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</si>
  <si>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</si>
  <si>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</si>
  <si>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</si>
  <si>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</si>
  <si>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</si>
  <si>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</si>
  <si>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</si>
  <si>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</si>
  <si>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</si>
  <si>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</si>
  <si>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</si>
  <si>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</si>
  <si>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</si>
  <si>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</si>
  <si>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</si>
  <si>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</si>
  <si>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</si>
  <si>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</si>
  <si>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</si>
  <si>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</si>
  <si>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</si>
  <si>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</si>
  <si>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</si>
  <si>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</si>
  <si>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</si>
  <si>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</si>
  <si>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</si>
  <si>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</si>
  <si>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</si>
  <si>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</si>
  <si>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</si>
  <si>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</si>
  <si>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</si>
  <si>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</si>
  <si>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</si>
  <si>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</si>
  <si>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</si>
  <si>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</si>
  <si>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</si>
  <si>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</si>
  <si>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</si>
  <si>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</si>
  <si>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</si>
  <si>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</si>
  <si>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</si>
  <si>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</si>
  <si>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</si>
  <si>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</si>
  <si>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</si>
  <si>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</si>
  <si>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</si>
  <si>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</si>
  <si>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</si>
  <si>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</si>
  <si>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</si>
  <si>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</si>
  <si>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</si>
  <si>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</si>
  <si>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</si>
  <si>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</si>
  <si>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</si>
  <si>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</si>
  <si>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</si>
  <si>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</si>
  <si>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</si>
  <si>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</si>
  <si>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</si>
  <si>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</si>
  <si>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</si>
  <si>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</si>
  <si>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</si>
  <si>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</si>
  <si>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</si>
  <si>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</si>
  <si>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</si>
  <si>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</si>
  <si>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</si>
  <si>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</si>
  <si>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</si>
  <si>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</si>
  <si>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</si>
  <si>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</si>
  <si>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</si>
  <si>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</si>
  <si>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</si>
  <si>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</si>
  <si>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</si>
  <si>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</si>
  <si>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</si>
  <si>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</si>
  <si>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</si>
  <si>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</si>
  <si>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</si>
  <si>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</si>
  <si>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</si>
  <si>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</si>
  <si>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</si>
  <si>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</si>
  <si>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</si>
  <si>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</si>
  <si>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</si>
  <si>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</si>
  <si>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</si>
  <si>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</si>
  <si>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</si>
  <si>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</si>
  <si>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</si>
  <si>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</si>
  <si>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</si>
  <si>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</si>
  <si>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</si>
  <si>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</si>
  <si>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</si>
  <si>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</si>
  <si>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</si>
  <si>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</si>
  <si>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</si>
  <si>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</si>
  <si>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</si>
  <si>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</si>
  <si>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</si>
  <si>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</si>
  <si>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</si>
  <si>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</si>
  <si>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</si>
  <si>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</si>
  <si>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</si>
  <si>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</si>
  <si>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</si>
  <si>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</si>
  <si>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</si>
  <si>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</si>
  <si>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</si>
  <si>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</si>
  <si>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</si>
  <si>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</si>
  <si>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</si>
  <si>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</si>
  <si>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</si>
  <si>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</si>
  <si>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</si>
  <si>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</si>
  <si>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</si>
  <si>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</si>
  <si>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</si>
  <si>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</si>
  <si>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</si>
  <si>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</si>
  <si>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</si>
  <si>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</si>
  <si>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</si>
  <si>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</si>
  <si>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</si>
  <si>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</si>
  <si>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</si>
  <si>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</si>
  <si>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</si>
  <si>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</si>
  <si>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</si>
  <si>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</si>
  <si>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</si>
  <si>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</si>
  <si>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</si>
  <si>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</si>
  <si>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</si>
  <si>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</si>
  <si>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</si>
  <si>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</si>
  <si>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</si>
  <si>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</si>
  <si>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</si>
  <si>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</si>
  <si>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</si>
  <si>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</si>
  <si>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</si>
  <si>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</si>
  <si>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</si>
  <si>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</si>
  <si>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</si>
  <si>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</si>
  <si>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</si>
  <si>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</si>
  <si>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</si>
  <si>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</si>
  <si>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</si>
  <si>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</si>
  <si>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</si>
  <si>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</si>
  <si>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</si>
  <si>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</si>
  <si>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</si>
  <si>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</si>
  <si>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</si>
  <si>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</si>
  <si>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</si>
  <si>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</si>
  <si>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</si>
  <si>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</si>
  <si>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</si>
  <si>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</si>
  <si>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</si>
  <si>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</si>
  <si>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</si>
  <si>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</si>
  <si>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</si>
  <si>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</si>
  <si>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</si>
  <si>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</si>
  <si>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</si>
  <si>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</si>
  <si>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</si>
  <si>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</si>
  <si>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</si>
  <si>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</si>
  <si>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</si>
  <si>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</si>
  <si>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</si>
  <si>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</si>
  <si>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</si>
  <si>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</si>
  <si>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</si>
  <si>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</si>
  <si>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</si>
  <si>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</si>
  <si>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</si>
  <si>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</si>
  <si>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</si>
  <si>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</si>
  <si>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</si>
  <si>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</si>
  <si>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</si>
  <si>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</si>
  <si>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</si>
  <si>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</si>
  <si>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</si>
  <si>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</si>
  <si>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</si>
  <si>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</si>
  <si>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</si>
  <si>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</si>
  <si>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</si>
  <si>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</si>
  <si>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</si>
  <si>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</si>
  <si>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</si>
  <si>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</si>
  <si>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</si>
  <si>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</si>
  <si>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</si>
  <si>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</si>
  <si>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</si>
  <si>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</si>
  <si>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</si>
  <si>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</si>
  <si>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</si>
  <si>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</si>
  <si>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</si>
  <si>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</si>
  <si>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</si>
  <si>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</si>
  <si>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</si>
  <si>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</si>
  <si>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</si>
  <si>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</si>
  <si>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</si>
  <si>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</si>
  <si>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</si>
  <si>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</si>
  <si>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</si>
  <si>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</si>
  <si>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</si>
  <si>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</si>
  <si>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</si>
  <si>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</si>
  <si>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</si>
  <si>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</si>
  <si>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</si>
  <si>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</si>
  <si>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</si>
  <si>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</si>
  <si>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</si>
  <si>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</si>
  <si>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</si>
  <si>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</si>
  <si>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</si>
  <si>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</si>
  <si>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</si>
  <si>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</si>
  <si>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</si>
  <si>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</si>
  <si>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</si>
  <si>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</si>
  <si>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</si>
  <si>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</si>
  <si>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</si>
  <si>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</si>
  <si>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</si>
  <si>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</si>
  <si>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</si>
  <si>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</si>
  <si>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</si>
  <si>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</si>
  <si>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</si>
  <si>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</si>
  <si>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</si>
  <si>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</si>
  <si>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</si>
  <si>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</si>
  <si>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</si>
  <si>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</si>
  <si>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</si>
  <si>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</si>
  <si>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</si>
  <si>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</si>
  <si>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</si>
  <si>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</si>
  <si>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</si>
  <si>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</si>
  <si>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</si>
  <si>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</si>
  <si>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</si>
  <si>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</si>
  <si>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</si>
  <si>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</si>
  <si>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</si>
  <si>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</si>
  <si>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</si>
  <si>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</si>
  <si>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</si>
  <si>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</si>
  <si>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</si>
  <si>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</si>
  <si>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</si>
  <si>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</si>
  <si>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</si>
  <si>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</si>
  <si>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</si>
  <si>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</si>
  <si>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</si>
  <si>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</si>
  <si>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</si>
  <si>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</si>
  <si>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</si>
  <si>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</si>
  <si>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</si>
  <si>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</si>
  <si>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</si>
  <si>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</si>
  <si>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</si>
  <si>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</si>
  <si>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</si>
  <si>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</si>
  <si>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</si>
  <si>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</si>
  <si>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</si>
  <si>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</si>
  <si>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</si>
  <si>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</si>
  <si>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</si>
  <si>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</si>
  <si>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</si>
  <si>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</si>
  <si>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</si>
  <si>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</si>
  <si>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</si>
  <si>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</si>
  <si>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</si>
  <si>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</si>
  <si>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</si>
  <si>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</si>
  <si>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</si>
  <si>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</si>
  <si>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</si>
  <si>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</si>
  <si>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</si>
  <si>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</si>
  <si>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</si>
  <si>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</si>
  <si>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</si>
  <si>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</si>
  <si>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</si>
  <si>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</si>
  <si>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</si>
  <si>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</si>
  <si>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</si>
  <si>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</si>
  <si>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</si>
  <si>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</si>
  <si>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</si>
  <si>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</si>
  <si>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</si>
  <si>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</si>
  <si>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</si>
  <si>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</si>
  <si>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</si>
  <si>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</si>
  <si>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</si>
  <si>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</si>
  <si>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</si>
  <si>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</si>
  <si>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</si>
  <si>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</si>
  <si>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</si>
  <si>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</si>
  <si>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</si>
  <si>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</si>
  <si>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</si>
  <si>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</si>
  <si>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</si>
  <si>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</si>
  <si>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</si>
  <si>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</si>
  <si>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</si>
  <si>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</si>
  <si>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</si>
  <si>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</si>
  <si>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</si>
  <si>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</si>
  <si>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</si>
  <si>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</si>
  <si>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</si>
  <si>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</si>
  <si>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</si>
  <si>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</si>
  <si>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</si>
  <si>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</si>
  <si>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</si>
  <si>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</si>
  <si>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</si>
  <si>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</si>
  <si>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</si>
  <si>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</si>
  <si>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</si>
  <si>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</si>
  <si>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</si>
  <si>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</si>
  <si>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</si>
  <si>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</si>
  <si>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</si>
  <si>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</si>
  <si>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</si>
  <si>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</si>
  <si>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</si>
  <si>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</si>
  <si>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</si>
  <si>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</si>
  <si>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</si>
  <si>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</si>
  <si>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</si>
  <si>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</si>
  <si>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</si>
  <si>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</si>
  <si>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</si>
  <si>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</si>
  <si>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</si>
  <si>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</si>
  <si>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</si>
  <si>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</si>
  <si>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</si>
  <si>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</si>
  <si>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</si>
  <si>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</si>
  <si>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</si>
  <si>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</si>
  <si>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</si>
  <si>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</si>
  <si>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</si>
  <si>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</si>
  <si>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</si>
  <si>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</si>
  <si>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</si>
  <si>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</si>
  <si>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</si>
  <si>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</si>
  <si>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</si>
  <si>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</si>
  <si>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</si>
  <si>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</si>
  <si>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</si>
  <si>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</si>
  <si>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</si>
  <si>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</si>
  <si>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</si>
  <si>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</si>
  <si>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</si>
  <si>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</si>
  <si>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</si>
  <si>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</si>
  <si>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</si>
  <si>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</si>
  <si>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</si>
  <si>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</si>
  <si>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</si>
  <si>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</si>
  <si>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</si>
  <si>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</si>
  <si>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</si>
  <si>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</si>
  <si>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</si>
  <si>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</si>
  <si>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</si>
  <si>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</si>
  <si>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</si>
  <si>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</si>
  <si>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</si>
  <si>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</si>
  <si>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</si>
  <si>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</si>
  <si>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</si>
  <si>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</si>
  <si>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</si>
  <si>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</si>
  <si>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</si>
  <si>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</si>
  <si>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</si>
  <si>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</si>
  <si>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</si>
  <si>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</si>
  <si>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</si>
  <si>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</si>
  <si>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</si>
  <si>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</si>
  <si>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</si>
  <si>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</si>
  <si>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</si>
  <si>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</si>
  <si>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</si>
  <si>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</si>
  <si>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</si>
  <si>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</si>
  <si>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</si>
  <si>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</si>
  <si>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</si>
  <si>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</si>
  <si>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</si>
  <si>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</si>
  <si>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</si>
  <si>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</si>
  <si>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</si>
  <si>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</si>
  <si>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</si>
  <si>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</si>
  <si>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</si>
  <si>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</si>
  <si>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</si>
  <si>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</si>
  <si>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</si>
  <si>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</si>
  <si>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</si>
  <si>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</si>
  <si>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</si>
  <si>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</si>
  <si>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</si>
  <si>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</si>
  <si>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</si>
  <si>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</si>
  <si>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</si>
  <si>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</si>
  <si>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</si>
  <si>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</si>
  <si>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</si>
  <si>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</si>
  <si>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</si>
  <si>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</si>
  <si>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</si>
  <si>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</si>
  <si>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</si>
  <si>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</si>
  <si>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</si>
  <si>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</si>
  <si>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</si>
  <si>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</si>
  <si>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</si>
  <si>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</si>
  <si>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</si>
  <si>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</si>
  <si>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</si>
  <si>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</si>
  <si>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</si>
  <si>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</si>
  <si>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</si>
  <si>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</si>
  <si>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</si>
  <si>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</si>
  <si>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</si>
  <si>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</si>
  <si>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</si>
  <si>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</si>
  <si>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</si>
  <si>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</si>
  <si>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</si>
  <si>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</si>
  <si>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</si>
  <si>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</si>
  <si>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</si>
  <si>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</si>
  <si>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</si>
  <si>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</si>
  <si>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</si>
  <si>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</si>
  <si>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</si>
  <si>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</si>
  <si>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</si>
  <si>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</si>
  <si>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</si>
  <si>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</si>
  <si>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</si>
  <si>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</si>
  <si>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</si>
  <si>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</si>
  <si>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</si>
  <si>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</si>
  <si>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</si>
  <si>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</si>
  <si>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</si>
  <si>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</si>
  <si>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</si>
  <si>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</si>
  <si>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</si>
  <si>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</si>
  <si>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</si>
  <si>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</si>
  <si>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</si>
  <si>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</si>
  <si>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</si>
  <si>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</si>
  <si>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</si>
  <si>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</si>
  <si>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</si>
  <si>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</si>
  <si>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</si>
  <si>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</si>
  <si>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</si>
  <si>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</si>
  <si>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</si>
  <si>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</si>
  <si>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</si>
  <si>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</si>
  <si>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</si>
  <si>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</si>
  <si>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</si>
  <si>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</si>
  <si>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</si>
  <si>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</si>
  <si>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</si>
  <si>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</si>
  <si>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</si>
  <si>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</si>
  <si>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</si>
  <si>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</si>
  <si>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</si>
  <si>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</si>
  <si>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</si>
  <si>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</si>
  <si>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</si>
  <si>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</si>
  <si>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</si>
  <si>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</si>
  <si>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</si>
  <si>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</si>
  <si>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</si>
  <si>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</si>
  <si>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</si>
  <si>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</si>
  <si>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</si>
  <si>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</si>
  <si>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</si>
  <si>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</si>
  <si>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</si>
  <si>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</si>
  <si>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</si>
  <si>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</si>
  <si>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</si>
  <si>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</si>
  <si>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</si>
  <si>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</si>
  <si>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</si>
  <si>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</si>
  <si>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</si>
  <si>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</si>
  <si>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</si>
  <si>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</si>
  <si>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</si>
  <si>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</si>
  <si>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</si>
  <si>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</si>
  <si>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</si>
  <si>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</si>
  <si>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</si>
  <si>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</si>
  <si>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</si>
  <si>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</si>
  <si>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</si>
  <si>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</si>
  <si>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</si>
  <si>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</si>
  <si>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</si>
  <si>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</si>
  <si>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</si>
  <si>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</si>
  <si>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</si>
  <si>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</si>
  <si>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</si>
  <si>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</si>
  <si>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</si>
  <si>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</si>
  <si>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</si>
  <si>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</si>
  <si>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</si>
  <si>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</si>
  <si>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</si>
  <si>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</si>
  <si>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</si>
  <si>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</si>
  <si>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</si>
  <si>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</si>
  <si>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</si>
  <si>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</si>
  <si>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</si>
  <si>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</si>
  <si>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</si>
  <si>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</si>
  <si>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</si>
  <si>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</si>
  <si>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</si>
  <si>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</si>
  <si>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</si>
  <si>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</si>
  <si>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</si>
  <si>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</si>
  <si>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</si>
  <si>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</si>
  <si>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</si>
  <si>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</si>
  <si>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</si>
  <si>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</si>
  <si>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</si>
  <si>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</si>
  <si>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</si>
  <si>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</si>
  <si>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</si>
  <si>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</si>
  <si>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</si>
  <si>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</si>
  <si>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</si>
  <si>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</si>
  <si>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</si>
  <si>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</si>
  <si>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</si>
  <si>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</si>
  <si>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</si>
  <si>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</si>
  <si>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</si>
  <si>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</si>
  <si>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</si>
  <si>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</si>
  <si>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</si>
  <si>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</si>
  <si>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</si>
  <si>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</si>
  <si>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</si>
  <si>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</si>
  <si>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</si>
  <si>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</si>
  <si>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</si>
  <si>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</si>
  <si>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</si>
  <si>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</si>
  <si>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</si>
  <si>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</si>
  <si>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</si>
  <si>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</si>
  <si>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</si>
  <si>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</si>
  <si>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</si>
  <si>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</si>
  <si>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</si>
  <si>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</si>
  <si>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</si>
  <si>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</si>
  <si>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</si>
  <si>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</si>
  <si>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</si>
  <si>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</si>
  <si>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</si>
  <si>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</si>
  <si>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</si>
  <si>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</si>
  <si>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</si>
  <si>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</si>
  <si>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</si>
  <si>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</si>
  <si>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</si>
  <si>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</si>
  <si>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</si>
  <si>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</si>
  <si>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</si>
  <si>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</si>
  <si>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</si>
  <si>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</si>
  <si>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</si>
  <si>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</si>
  <si>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</si>
  <si>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</si>
  <si>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</si>
  <si>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</si>
  <si>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</si>
  <si>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</si>
  <si>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</si>
  <si>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</si>
  <si>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</si>
  <si>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</si>
  <si>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</si>
  <si>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</si>
  <si>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</si>
  <si>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</si>
  <si>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</si>
  <si>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</si>
  <si>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</si>
  <si>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</si>
  <si>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</si>
  <si>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</si>
  <si>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</si>
  <si>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</si>
  <si>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</si>
  <si>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</si>
  <si>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</si>
  <si>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</si>
  <si>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</si>
  <si>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</si>
  <si>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</si>
  <si>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</si>
  <si>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</si>
  <si>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</si>
  <si>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</si>
  <si>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</si>
  <si>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</si>
  <si>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</si>
  <si>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</si>
  <si>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</si>
  <si>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</si>
  <si>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</si>
  <si>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</si>
  <si>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</si>
  <si>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</si>
  <si>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</si>
  <si>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</si>
  <si>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</si>
  <si>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</si>
  <si>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</si>
  <si>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</si>
  <si>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</si>
  <si>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</si>
  <si>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</si>
  <si>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</si>
  <si>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</si>
  <si>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</si>
  <si>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</si>
  <si>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</si>
  <si>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</si>
  <si>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</si>
  <si>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</si>
  <si>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</si>
  <si>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</si>
  <si>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</si>
  <si>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</si>
  <si>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</si>
  <si>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</si>
  <si>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</si>
  <si>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</si>
  <si>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</si>
  <si>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</si>
  <si>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</si>
  <si>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</si>
  <si>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</si>
  <si>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</si>
  <si>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</si>
  <si>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</si>
  <si>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</si>
  <si>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</si>
  <si>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</si>
  <si>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</si>
  <si>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</si>
  <si>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</si>
  <si>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</si>
  <si>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</si>
  <si>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</si>
  <si>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</si>
  <si>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</si>
  <si>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</si>
  <si>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</si>
  <si>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</si>
  <si>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</si>
  <si>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</si>
  <si>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</si>
  <si>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</si>
  <si>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</si>
  <si>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</si>
  <si>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</si>
  <si>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</si>
  <si>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</si>
  <si>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</si>
  <si>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</si>
  <si>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</si>
  <si>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</si>
  <si>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</si>
  <si>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</si>
  <si>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</si>
  <si>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</si>
  <si>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</si>
  <si>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</si>
  <si>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</si>
  <si>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</si>
  <si>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</si>
  <si>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</si>
  <si>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</si>
  <si>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</si>
  <si>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</si>
  <si>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</si>
  <si>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</si>
  <si>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</si>
  <si>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</si>
  <si>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</si>
  <si>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</si>
  <si>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</si>
  <si>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</si>
  <si>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</si>
  <si>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</si>
  <si>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</si>
  <si>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</si>
  <si>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</si>
  <si>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</si>
  <si>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</si>
  <si>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</si>
  <si>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</si>
  <si>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</si>
  <si>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</si>
  <si>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</si>
  <si>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</si>
  <si>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</si>
  <si>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</si>
  <si>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</si>
  <si>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</si>
  <si>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</si>
  <si>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</si>
  <si>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</si>
  <si>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</si>
  <si>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</si>
  <si>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</si>
  <si>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</si>
  <si>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</si>
  <si>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</si>
  <si>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</si>
  <si>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</si>
  <si>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</si>
  <si>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</si>
  <si>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</si>
  <si>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</si>
  <si>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</si>
  <si>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</si>
  <si>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</si>
  <si>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</si>
  <si>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</si>
  <si>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</si>
  <si>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</si>
  <si>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</si>
  <si>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</si>
  <si>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</si>
  <si>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</si>
  <si>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</si>
  <si>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</si>
  <si>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</si>
  <si>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</si>
  <si>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</si>
  <si>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</si>
  <si>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</si>
  <si>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</si>
  <si>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</si>
  <si>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</si>
  <si>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</si>
  <si>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</si>
  <si>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</si>
  <si>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</si>
  <si>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</si>
  <si>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</si>
  <si>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</si>
  <si>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</si>
  <si>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</si>
  <si>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</si>
  <si>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</si>
  <si>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</si>
  <si>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</si>
  <si>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</si>
  <si>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</si>
  <si>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</si>
  <si>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</si>
  <si>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</si>
  <si>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</si>
  <si>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</si>
  <si>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</si>
  <si>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</si>
  <si>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</si>
  <si>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</si>
  <si>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</si>
  <si>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</si>
  <si>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</si>
  <si>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</si>
  <si>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</si>
  <si>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</si>
  <si>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</si>
  <si>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</si>
  <si>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</si>
  <si>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</si>
  <si>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</si>
  <si>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</si>
  <si>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</si>
  <si>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</si>
  <si>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</si>
  <si>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</si>
  <si>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</si>
  <si>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</si>
  <si>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</si>
  <si>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</si>
  <si>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</si>
  <si>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</si>
  <si>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</si>
  <si>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</si>
  <si>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</si>
  <si>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</si>
  <si>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</si>
  <si>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</si>
  <si>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</si>
  <si>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</si>
  <si>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</si>
  <si>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</si>
  <si>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</si>
  <si>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</si>
  <si>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</si>
  <si>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</si>
  <si>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</si>
  <si>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</si>
  <si>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</si>
  <si>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</si>
  <si>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</si>
  <si>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</si>
  <si>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</si>
  <si>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</si>
  <si>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</si>
  <si>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</si>
  <si>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</si>
  <si>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</si>
  <si>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</si>
  <si>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</si>
  <si>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</si>
  <si>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</si>
  <si>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</si>
  <si>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</si>
  <si>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</si>
  <si>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</si>
  <si>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</si>
  <si>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</si>
  <si>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</si>
  <si>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</si>
  <si>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</si>
  <si>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</si>
  <si>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</si>
  <si>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</si>
  <si>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</si>
  <si>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</si>
  <si>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</si>
  <si>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</si>
  <si>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</si>
  <si>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</si>
  <si>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</si>
  <si>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</si>
  <si>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</si>
  <si>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</si>
  <si>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</si>
  <si>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</si>
  <si>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</si>
  <si>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</si>
  <si>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</si>
  <si>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</si>
  <si>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</si>
  <si>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</si>
  <si>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</si>
  <si>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</si>
  <si>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</si>
  <si>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</si>
  <si>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</si>
  <si>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</si>
  <si>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</si>
  <si>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</si>
  <si>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</si>
  <si>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</si>
  <si>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</si>
  <si>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</si>
  <si>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</si>
  <si>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</si>
  <si>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</si>
  <si>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</si>
  <si>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</si>
  <si>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</si>
  <si>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</si>
  <si>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</si>
  <si>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</si>
  <si>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</si>
  <si>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</si>
  <si>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</si>
  <si>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</si>
  <si>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</si>
  <si>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</si>
  <si>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</si>
  <si>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</si>
  <si>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</si>
  <si>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</si>
  <si>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</si>
  <si>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</si>
  <si>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</si>
  <si>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</si>
  <si>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</si>
  <si>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</si>
  <si>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</si>
  <si>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</si>
  <si>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</si>
  <si>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</si>
  <si>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</si>
  <si>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</si>
  <si>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</si>
  <si>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</si>
  <si>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</si>
  <si>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</si>
  <si>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</si>
  <si>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</si>
  <si>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</si>
  <si>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</si>
  <si>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</si>
  <si>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</si>
  <si>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</si>
  <si>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</si>
  <si>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</si>
  <si>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</si>
  <si>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</si>
  <si>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</si>
  <si>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</si>
  <si>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</si>
  <si>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</si>
  <si>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</si>
  <si>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</si>
  <si>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</si>
  <si>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</si>
  <si>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</si>
  <si>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</si>
  <si>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</si>
  <si>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</si>
  <si>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</si>
  <si>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</si>
  <si>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</si>
  <si>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</si>
  <si>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</si>
  <si>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</si>
  <si>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</si>
  <si>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</si>
  <si>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</si>
  <si>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</si>
  <si>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</si>
  <si>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</si>
  <si>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</si>
  <si>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</si>
  <si>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</si>
  <si>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</si>
  <si>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</si>
  <si>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</si>
  <si>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</si>
  <si>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</si>
  <si>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</si>
  <si>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</si>
  <si>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</si>
  <si>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</si>
  <si>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</si>
  <si>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</si>
  <si>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</si>
  <si>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</si>
  <si>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</si>
  <si>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</si>
  <si>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</si>
  <si>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</si>
  <si>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</si>
  <si>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</si>
  <si>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</si>
  <si>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</si>
  <si>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</si>
  <si>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</si>
  <si>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</si>
  <si>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</si>
  <si>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</si>
  <si>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</si>
  <si>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</si>
  <si>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</si>
  <si>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</si>
  <si>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</si>
  <si>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</si>
  <si>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</si>
  <si>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</si>
  <si>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</si>
  <si>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</si>
  <si>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</si>
  <si>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</si>
  <si>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</si>
  <si>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</si>
  <si>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</si>
  <si>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</si>
  <si>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</si>
  <si>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</si>
  <si>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</si>
  <si>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</si>
  <si>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</si>
  <si>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</si>
  <si>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</si>
  <si>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</si>
  <si>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</si>
  <si>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</si>
  <si>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</si>
  <si>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</si>
  <si>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</si>
  <si>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</si>
  <si>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</si>
  <si>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</si>
  <si>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</si>
  <si>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</si>
  <si>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</si>
  <si>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</si>
  <si>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</si>
  <si>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</si>
  <si>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</si>
  <si>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</si>
  <si>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</si>
  <si>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</si>
  <si>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</si>
  <si>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</si>
  <si>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</si>
  <si>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</si>
  <si>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</si>
  <si>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</si>
  <si>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</si>
  <si>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</si>
  <si>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</si>
  <si>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</si>
  <si>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</si>
  <si>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</si>
  <si>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</si>
  <si>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</si>
  <si>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</si>
  <si>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</si>
  <si>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</si>
  <si>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</si>
  <si>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</si>
  <si>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</si>
  <si>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</si>
  <si>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</si>
  <si>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</si>
  <si>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</si>
  <si>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</si>
  <si>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</si>
  <si>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</si>
  <si>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</si>
  <si>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</si>
  <si>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</si>
  <si>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</si>
  <si>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</si>
  <si>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</si>
  <si>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</si>
  <si>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</si>
  <si>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</si>
  <si>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</si>
  <si>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</si>
  <si>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</si>
  <si>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</si>
  <si>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</si>
  <si>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</si>
  <si>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</si>
  <si>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</si>
  <si>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</si>
  <si>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</si>
  <si>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</si>
  <si>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</si>
  <si>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</si>
  <si>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</si>
  <si>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</si>
  <si>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</si>
  <si>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</si>
  <si>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</si>
  <si>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</si>
  <si>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</si>
  <si>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</si>
  <si>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</si>
  <si>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</si>
  <si>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</si>
  <si>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</si>
  <si>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</si>
  <si>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</si>
  <si>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</si>
  <si>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</si>
  <si>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</si>
  <si>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</si>
  <si>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</si>
  <si>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</si>
  <si>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</si>
  <si>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</si>
  <si>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</si>
  <si>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</si>
  <si>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</si>
  <si>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</si>
  <si>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</si>
  <si>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</si>
  <si>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</si>
  <si>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</si>
  <si>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</si>
  <si>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</si>
  <si>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</si>
  <si>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</si>
  <si>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</si>
  <si>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</si>
  <si>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</si>
  <si>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</si>
  <si>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</si>
  <si>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</si>
  <si>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</si>
  <si>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</si>
  <si>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</si>
  <si>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</si>
  <si>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</si>
  <si>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</si>
  <si>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</si>
  <si>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</si>
  <si>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</si>
  <si>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</si>
  <si>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</si>
  <si>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</si>
  <si>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</si>
  <si>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</si>
  <si>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</si>
  <si>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</si>
  <si>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</si>
  <si>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</si>
  <si>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</si>
  <si>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</si>
  <si>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</si>
  <si>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</si>
  <si>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</si>
  <si>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</si>
  <si>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</si>
  <si>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</si>
  <si>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</si>
  <si>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</si>
  <si>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</si>
  <si>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</si>
  <si>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</si>
  <si>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</si>
  <si>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</si>
  <si>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</si>
  <si>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</si>
  <si>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</si>
  <si>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</si>
  <si>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</si>
  <si>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</si>
  <si>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</si>
  <si>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</si>
  <si>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</si>
  <si>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</si>
  <si>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</si>
  <si>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</si>
  <si>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</si>
  <si>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</si>
  <si>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</si>
  <si>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</si>
  <si>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</si>
  <si>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</si>
  <si>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</si>
  <si>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</si>
  <si>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</si>
  <si>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</si>
  <si>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</si>
  <si>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</si>
  <si>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</si>
  <si>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</si>
  <si>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</si>
  <si>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</si>
  <si>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</si>
  <si>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</si>
  <si>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</si>
  <si>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</si>
  <si>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</si>
  <si>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</si>
  <si>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</si>
  <si>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</si>
  <si>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</si>
  <si>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</si>
  <si>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</si>
  <si>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</si>
  <si>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</si>
  <si>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</si>
  <si>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</si>
  <si>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</si>
  <si>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</si>
  <si>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</si>
  <si>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</si>
  <si>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</si>
  <si>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</si>
  <si>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</si>
  <si>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</si>
  <si>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</si>
  <si>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</si>
  <si>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</si>
  <si>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</si>
  <si>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</si>
  <si>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</si>
  <si>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</si>
  <si>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</si>
  <si>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</si>
  <si>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</si>
  <si>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</si>
  <si>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</si>
  <si>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</si>
  <si>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</si>
  <si>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</si>
  <si>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</si>
  <si>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</si>
  <si>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</si>
  <si>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</si>
  <si>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</si>
  <si>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</si>
  <si>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</si>
  <si>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</si>
  <si>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</si>
  <si>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</si>
  <si>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</si>
  <si>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</si>
  <si>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</si>
  <si>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</si>
  <si>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</si>
  <si>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</si>
  <si>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</si>
  <si>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</si>
  <si>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</si>
  <si>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</si>
  <si>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</si>
  <si>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</si>
  <si>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</si>
  <si>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</si>
  <si>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</si>
  <si>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</si>
  <si>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</si>
  <si>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</si>
  <si>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</si>
  <si>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</si>
  <si>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</si>
  <si>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</si>
  <si>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</si>
  <si>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</si>
  <si>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</si>
  <si>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</si>
  <si>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</si>
  <si>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</si>
  <si>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</si>
  <si>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</si>
  <si>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</si>
  <si>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</si>
  <si>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</si>
  <si>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</si>
  <si>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</si>
  <si>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</si>
  <si>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</si>
  <si>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</si>
  <si>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</si>
  <si>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</si>
  <si>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</si>
  <si>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</si>
  <si>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</si>
  <si>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</si>
  <si>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</si>
  <si>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</si>
  <si>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</si>
  <si>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</si>
  <si>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</si>
  <si>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</si>
  <si>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</si>
  <si>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</si>
  <si>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</si>
  <si>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</si>
  <si>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</si>
  <si>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</si>
  <si>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</si>
  <si>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</si>
  <si>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</si>
  <si>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</si>
  <si>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</si>
  <si>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</si>
  <si>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</si>
  <si>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</si>
  <si>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</si>
  <si>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</si>
  <si>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</si>
  <si>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</si>
  <si>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</si>
  <si>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</si>
  <si>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</si>
  <si>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</si>
  <si>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</si>
  <si>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</si>
  <si>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</si>
  <si>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</si>
  <si>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</si>
  <si>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</si>
  <si>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</si>
  <si>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</si>
  <si>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</si>
  <si>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</si>
  <si>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</si>
  <si>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</si>
  <si>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</si>
  <si>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</si>
  <si>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</si>
  <si>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</si>
  <si>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</si>
  <si>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</si>
  <si>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</si>
  <si>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</si>
  <si>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</si>
  <si>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</si>
  <si>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</si>
  <si>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</si>
  <si>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</si>
  <si>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</si>
  <si>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</si>
  <si>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</si>
  <si>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</si>
  <si>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</si>
  <si>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</si>
  <si>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</si>
  <si>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</si>
  <si>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</si>
  <si>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</si>
  <si>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</si>
  <si>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</si>
  <si>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</si>
  <si>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</si>
  <si>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</si>
  <si>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</si>
  <si>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</si>
  <si>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</si>
  <si>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</si>
  <si>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</si>
  <si>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</si>
  <si>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</si>
  <si>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</si>
  <si>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</si>
  <si>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</si>
  <si>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</si>
  <si>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</si>
  <si>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</si>
  <si>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</si>
  <si>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</si>
  <si>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</si>
  <si>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</si>
  <si>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</si>
  <si>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</si>
  <si>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</si>
  <si>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</si>
  <si>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</si>
  <si>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</si>
  <si>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</si>
  <si>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</si>
  <si>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</si>
  <si>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</si>
  <si>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</si>
  <si>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</si>
  <si>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</si>
  <si>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</si>
  <si>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</si>
  <si>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</si>
  <si>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</si>
  <si>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</si>
  <si>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</si>
  <si>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</si>
  <si>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</si>
  <si>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</si>
  <si>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</si>
  <si>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</si>
  <si>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</si>
  <si>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</si>
  <si>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</si>
  <si>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</si>
  <si>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</si>
  <si>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</si>
  <si>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</si>
  <si>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</si>
  <si>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</si>
  <si>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</si>
  <si>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</si>
  <si>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</si>
  <si>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</si>
  <si>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</si>
  <si>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</si>
  <si>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</si>
  <si>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</si>
  <si>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</si>
  <si>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</si>
  <si>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</si>
  <si>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</si>
  <si>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</si>
  <si>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</si>
  <si>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</si>
  <si>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</si>
  <si>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</si>
  <si>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</si>
  <si>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</si>
  <si>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</si>
  <si>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</si>
  <si>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</si>
  <si>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</si>
  <si>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</si>
  <si>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</si>
  <si>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</si>
  <si>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</si>
  <si>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</si>
  <si>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</si>
  <si>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</si>
  <si>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</si>
  <si>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</si>
  <si>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</si>
  <si>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</si>
  <si>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</si>
  <si>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</si>
  <si>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</si>
  <si>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</si>
  <si>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</si>
  <si>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</si>
  <si>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</si>
  <si>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</si>
  <si>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</si>
  <si>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</si>
  <si>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</si>
  <si>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</si>
  <si>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</si>
  <si>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</si>
  <si>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</si>
  <si>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</si>
  <si>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</si>
  <si>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</si>
  <si>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</si>
  <si>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</si>
  <si>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</si>
  <si>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</si>
  <si>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</si>
  <si>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</si>
  <si>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</si>
  <si>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</si>
  <si>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</si>
  <si>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</si>
  <si>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</si>
  <si>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</si>
  <si>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</si>
  <si>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</si>
  <si>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</si>
  <si>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</si>
  <si>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</si>
  <si>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</si>
  <si>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</si>
  <si>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</si>
  <si>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</si>
  <si>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</si>
  <si>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</si>
  <si>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</si>
  <si>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</si>
  <si>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</si>
  <si>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</si>
  <si>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</si>
  <si>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</si>
  <si>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</si>
  <si>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</si>
  <si>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</si>
  <si>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</si>
  <si>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</si>
  <si>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</si>
  <si>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</si>
  <si>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</si>
  <si>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</si>
  <si>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</si>
  <si>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</si>
  <si>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</si>
  <si>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</si>
  <si>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</si>
  <si>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</si>
  <si>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</si>
  <si>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</si>
  <si>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</si>
  <si>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</si>
  <si>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</si>
  <si>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</si>
  <si>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</si>
  <si>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</si>
  <si>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</si>
  <si>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</si>
  <si>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</si>
  <si>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</si>
  <si>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</si>
  <si>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</si>
  <si>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</si>
  <si>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</si>
  <si>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</si>
  <si>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</si>
  <si>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</si>
  <si>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</si>
  <si>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</si>
  <si>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</si>
  <si>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</si>
  <si>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</si>
  <si>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</si>
  <si>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</si>
  <si>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</si>
  <si>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</si>
  <si>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</si>
  <si>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</si>
  <si>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</si>
  <si>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</si>
  <si>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</si>
  <si>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</si>
  <si>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</si>
  <si>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</si>
  <si>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</si>
  <si>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</si>
  <si>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</si>
  <si>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</si>
  <si>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</si>
  <si>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</si>
  <si>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</si>
  <si>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</si>
  <si>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</si>
  <si>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</si>
  <si>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</si>
  <si>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</si>
  <si>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</si>
  <si>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</si>
  <si>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</si>
  <si>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</si>
  <si>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</si>
  <si>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</si>
  <si>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</si>
  <si>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</si>
  <si>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</si>
  <si>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</si>
  <si>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</si>
  <si>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</si>
  <si>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</si>
  <si>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</si>
  <si>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</si>
  <si>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</si>
  <si>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</si>
  <si>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</si>
  <si>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</si>
  <si>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</si>
  <si>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</si>
  <si>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</si>
  <si>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</si>
  <si>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</si>
  <si>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</si>
  <si>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</si>
  <si>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</si>
  <si>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</si>
  <si>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</si>
  <si>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</si>
  <si>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</si>
  <si>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</si>
  <si>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</si>
  <si>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</si>
  <si>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</si>
  <si>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</si>
  <si>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</si>
  <si>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</si>
  <si>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</si>
  <si>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</si>
  <si>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</si>
  <si>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</si>
  <si>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</si>
  <si>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</si>
  <si>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</si>
  <si>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</si>
  <si>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</si>
  <si>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</si>
  <si>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</si>
  <si>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</si>
  <si>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</si>
  <si>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</si>
  <si>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</si>
  <si>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</si>
  <si>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</si>
  <si>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</si>
  <si>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</si>
  <si>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</si>
  <si>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</si>
  <si>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</si>
  <si>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</si>
  <si>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</si>
  <si>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</si>
  <si>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</si>
  <si>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</si>
  <si>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</si>
  <si>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</si>
  <si>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</si>
  <si>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</si>
  <si>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</si>
  <si>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</si>
  <si>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</si>
  <si>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</si>
  <si>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</si>
  <si>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</si>
  <si>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</si>
  <si>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</si>
  <si>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</si>
  <si>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</si>
  <si>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</si>
  <si>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</si>
  <si>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</si>
  <si>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</si>
  <si>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</si>
  <si>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</si>
  <si>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</si>
  <si>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</si>
  <si>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</si>
  <si>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</si>
  <si>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</si>
  <si>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</si>
  <si>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</si>
  <si>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</si>
  <si>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</si>
  <si>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</si>
  <si>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</si>
  <si>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</si>
  <si>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</si>
  <si>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</si>
  <si>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</si>
  <si>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</si>
  <si>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</si>
  <si>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</si>
  <si>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</si>
  <si>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</si>
  <si>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</si>
  <si>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</si>
  <si>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</si>
  <si>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</si>
  <si>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</si>
  <si>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</si>
  <si>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</si>
  <si>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</si>
  <si>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</si>
  <si>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</si>
  <si>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</si>
  <si>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</si>
  <si>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</si>
  <si>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</si>
  <si>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</si>
  <si>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</si>
  <si>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</si>
  <si>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</si>
  <si>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</si>
  <si>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</si>
  <si>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</si>
  <si>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</si>
  <si>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</si>
  <si>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</si>
  <si>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</si>
  <si>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</si>
  <si>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</si>
  <si>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</si>
  <si>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</si>
  <si>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</si>
  <si>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</si>
  <si>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</si>
  <si>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</si>
  <si>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</si>
  <si>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</si>
  <si>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</si>
  <si>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</si>
  <si>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</si>
  <si>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</si>
  <si>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</si>
  <si>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</si>
  <si>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</si>
  <si>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</si>
  <si>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</si>
  <si>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</si>
  <si>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</si>
  <si>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</si>
  <si>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</si>
  <si>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</si>
  <si>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</si>
  <si>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</si>
  <si>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</si>
  <si>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</si>
  <si>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</si>
  <si>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</si>
  <si>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</si>
  <si>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</si>
  <si>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</si>
  <si>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</si>
  <si>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</si>
  <si>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</si>
  <si>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</si>
  <si>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</si>
  <si>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</si>
  <si>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</si>
  <si>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</si>
  <si>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</si>
  <si>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</si>
  <si>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</si>
  <si>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</si>
  <si>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</si>
  <si>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</si>
  <si>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</si>
  <si>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</si>
  <si>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</si>
  <si>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</si>
  <si>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</si>
  <si>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</si>
  <si>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</si>
  <si>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</si>
  <si>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</si>
  <si>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</si>
  <si>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</si>
  <si>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</si>
  <si>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</si>
  <si>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</si>
  <si>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</si>
  <si>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</si>
  <si>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</si>
  <si>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</si>
  <si>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</si>
  <si>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</si>
  <si>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</si>
  <si>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</si>
  <si>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</si>
  <si>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</si>
  <si>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</si>
  <si>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</si>
  <si>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</si>
  <si>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</si>
  <si>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</si>
  <si>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</si>
  <si>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</si>
  <si>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</si>
  <si>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</si>
  <si>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</si>
  <si>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</si>
  <si>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</si>
  <si>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</si>
  <si>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</si>
  <si>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</si>
  <si>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</si>
  <si>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</si>
  <si>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</si>
  <si>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</si>
  <si>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</si>
  <si>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</si>
  <si>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</si>
  <si>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</si>
  <si>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</si>
  <si>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</si>
  <si>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</si>
  <si>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</si>
  <si>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</si>
  <si>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Hong Kong SAR (see also separate country code entry under HK)</t>
  </si>
  <si>
    <t>TinPT Cipta Persada Mulia</t>
  </si>
  <si>
    <t>TinPT Mitra Stania Prima</t>
  </si>
  <si>
    <t>TinPT Timah Tbk Mentok</t>
  </si>
  <si>
    <t>TinPT Timah Tbk Kundur</t>
  </si>
  <si>
    <t>TinPT ATD Makmur Mandiri Jaya</t>
  </si>
  <si>
    <t>TinPT Mitra Sukses Globalindo</t>
  </si>
  <si>
    <t>TinPT Premium Tin Indonesia</t>
  </si>
  <si>
    <t>TinPT Putera Sarana Shakti (PT PSS)</t>
  </si>
  <si>
    <t>TinPT Bangka Prima Tin</t>
  </si>
  <si>
    <t>TinPT Rajehan Ariq</t>
  </si>
  <si>
    <t>TinPT Prima Timah Utama</t>
  </si>
  <si>
    <t>Kepuluan Bangka Belitung</t>
  </si>
  <si>
    <t>WINSLOW ADAPTICS LTD</t>
  </si>
  <si>
    <t>JOSH MANCEY</t>
  </si>
  <si>
    <t>JOSH@WINSLOWADAPTICS.COM</t>
  </si>
  <si>
    <t>+44 (0) 1874 62 55 55</t>
  </si>
  <si>
    <t>GENERAL MANAGER</t>
  </si>
  <si>
    <t>https://www.winslowadaptics.com/app/uploads/2019/12/Conflict-Minerals-Policy.pdf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</si>
</sst>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Quality\Material%20Compliance\Conflict%20Minerals\Suppliers\Natconn\RMI_CMRT_6.5&#160;2025.xlsx" TargetMode="External"/><Relationship Id="rId1" Type="http://schemas.openxmlformats.org/officeDocument/2006/relationships/externalLinkPath" Target="/Quality/Material%20Compliance/Conflict%20Minerals/Suppliers/Natconn/RMI_CMRT_6.5&#16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Quality\Material%20Compliance\Conflict%20Minerals\Suppliers\Morlinkom\RMI_CMRT_6.5.xlsx" TargetMode="External"/><Relationship Id="rId1" Type="http://schemas.openxmlformats.org/officeDocument/2006/relationships/externalLinkPath" Target="/Quality/Material%20Compliance/Conflict%20Minerals/Suppliers/Morlinkom/RMI_CMRT_6.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AS-3\QA-folder\Quality\Q.A\Conflict%20Minerals%20-%20CMRT%20&amp;%20CRT\CMRT\Suppliers%20CMRT%206.5\MacDermid\ESI_CMRT%20v6.5_(C)_June%202025.xlsx" TargetMode="External"/><Relationship Id="rId1" Type="http://schemas.openxmlformats.org/officeDocument/2006/relationships/externalLinkPath" Target="file:///\\NAS-3\QA-folder\Quality\Q.A\Conflict%20Minerals%20-%20CMRT%20&amp;%20CRT\CMRT\Suppliers%20CMRT%206.5\MacDermid\ESI_CMRT%20v6.5_(C)_June%2020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Quality\Material%20Compliance\Conflict%20Minerals\Suppliers\Garner%20Osborne\GOC_CMRT_6.5_210825.xlsx" TargetMode="External"/><Relationship Id="rId1" Type="http://schemas.openxmlformats.org/officeDocument/2006/relationships/externalLinkPath" Target="/Quality/Material%20Compliance/Conflict%20Minerals/Suppliers/Garner%20Osborne/GOC_CMRT_6.5_210825.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G:\Quality\Material%20Compliance\Conflict%20Minerals\Suppliers\Frost%20Electroplating\CMRT_6.5.xlsx" TargetMode="External"/><Relationship Id="rId1" Type="http://schemas.openxmlformats.org/officeDocument/2006/relationships/externalLinkPath" Target="/Quality/Material%20Compliance/Conflict%20Minerals/Suppliers/Frost%20Electroplating/CMRT_6.5.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Quality\Material%20Compliance\Conflict%20Minerals\Suppliers\Warton%20Metals\RMI_CMRT_6.5-Warton%20Solder%20Products%20Limited_Company%20Level.xlsx" TargetMode="External"/><Relationship Id="rId1" Type="http://schemas.openxmlformats.org/officeDocument/2006/relationships/externalLinkPath" Target="/Quality/Material%20Compliance/Conflict%20Minerals/Suppliers/Warton%20Metals/RMI_CMRT_6.5-Warton%20Solder%20Products%20Limited_Company%20Lev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SH@WINSLOWADAPT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inslowadaptics.com/app/uploads/2019/12/Conflict-Minerals-Policy.pdf" TargetMode="External"/><Relationship Id="rId4" Type="http://schemas.openxmlformats.org/officeDocument/2006/relationships/hyperlink" Target="mailto:JOSH@WINSLOWADAPT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543737-66C8-4DCF-839D-7A621FF36FD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8600CA-5607-4794-96DF-EFDAD35452D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15830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15832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15833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15831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15832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55D2EA1-E731-45A1-B979-464A49624E43}"/>
    <hyperlink ref="D20" r:id="rId4" xr:uid="{431CF6BF-F253-4945-AC72-3F0A29DD3B76}"/>
    <hyperlink ref="G77" r:id="rId5" xr:uid="{50A28D0C-C539-40A2-835E-DA9EDD54D55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49" sqref="C4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765</v>
      </c>
      <c r="B5" s="182" t="s">
        <v>1099</v>
      </c>
      <c r="C5" s="186" t="s">
        <v>2120</v>
      </c>
      <c r="D5" s="230" t="s">
        <v>2120</v>
      </c>
      <c r="E5" s="182" t="s">
        <v>1069</v>
      </c>
      <c r="F5" s="182" t="s">
        <v>765</v>
      </c>
      <c r="G5" s="182" t="s">
        <v>13177</v>
      </c>
      <c r="H5" s="183">
        <v>0</v>
      </c>
      <c r="I5" s="184" t="s">
        <v>2398</v>
      </c>
      <c r="J5" s="184" t="s">
        <v>13540</v>
      </c>
      <c r="K5" s="224"/>
      <c r="L5" s="224"/>
      <c r="M5" s="224"/>
      <c r="N5" s="224"/>
      <c r="O5" s="224"/>
      <c r="P5" s="185"/>
      <c r="Q5" s="225"/>
      <c r="R5" s="182" t="s">
        <v>2120</v>
      </c>
      <c r="S5" s="181" t="str">
        <f ca="1">IF(B5="","",IF(ISERROR(MATCH($E5,CL,0)),"Unknown",INDIRECT("'C'!$A$"&amp;MATCH($E5,CL,0)+1)))</f>
        <v>CN</v>
      </c>
      <c r="T5" s="181" t="str">
        <f ca="1">IF(B5="","",IF(ISERROR(MATCH($J5,[1]SorP!$B$1:$B$6226,0)),"",INDIRECT("'SorP'!$A$"&amp;MATCH($S5&amp;$J5,[1]SorP!C:C,0))))</f>
        <v>CN-YN</v>
      </c>
      <c r="U5" s="201"/>
      <c r="V5" s="226">
        <f>IF(C5="",NA(),IF(OR(C5="Smelter not listed",C5="Smelter not yet identified"),MATCH($B5&amp;$D5,'[1]Smelter Look-up'!$J:$J,0),MATCH($B5&amp;$C5,'[1]Smelter Look-up'!$J:$J,0)))</f>
        <v>539</v>
      </c>
      <c r="X5" s="227">
        <f t="shared" ref="X5:X32" si="0">IF(AND(C5="Smelter not listed",OR(LEN(D5)=0,LEN(E5)=0)),1,0)</f>
        <v>0</v>
      </c>
      <c r="AB5" s="228" t="str">
        <f t="shared" ref="AB5:AB32" si="1">B5&amp;C5</f>
        <v>TinYunnan Chengfeng Non-ferrous Metals Co., Ltd.</v>
      </c>
    </row>
    <row r="6" spans="1:34" s="227" customFormat="1" ht="20.100000000000001" customHeight="1">
      <c r="A6" s="262" t="s">
        <v>686</v>
      </c>
      <c r="B6" s="182" t="s">
        <v>1098</v>
      </c>
      <c r="C6" s="186" t="s">
        <v>2105</v>
      </c>
      <c r="D6" s="230" t="s">
        <v>2105</v>
      </c>
      <c r="E6" s="182" t="s">
        <v>1069</v>
      </c>
      <c r="F6" s="182" t="s">
        <v>686</v>
      </c>
      <c r="G6" s="182" t="s">
        <v>13177</v>
      </c>
      <c r="H6" s="183">
        <v>0</v>
      </c>
      <c r="I6" s="184" t="s">
        <v>1587</v>
      </c>
      <c r="J6" s="184" t="s">
        <v>15817</v>
      </c>
      <c r="K6" s="224"/>
      <c r="L6" s="224"/>
      <c r="M6" s="224"/>
      <c r="N6" s="224"/>
      <c r="O6" s="224"/>
      <c r="P6" s="185"/>
      <c r="Q6" s="225"/>
      <c r="R6" s="182" t="s">
        <v>2105</v>
      </c>
      <c r="S6" s="181" t="str">
        <f t="shared" ref="S6" ca="1" si="2">IF(B6="","",IF(ISERROR(MATCH($E6,CL,0)),"Unknown",INDIRECT("'C'!$A$"&amp;MATCH($E6,CL,0)+1)))</f>
        <v>CN</v>
      </c>
      <c r="T6" s="181" t="str">
        <f ca="1">IF(B6="","",IF(ISERROR(MATCH($J6,[1]SorP!$B$1:$B$6226,0)),"",INDIRECT("'SorP'!$A$"&amp;MATCH($S6&amp;$J6,[1]SorP!C:C,0))))</f>
        <v/>
      </c>
      <c r="U6" s="201"/>
      <c r="V6" s="226">
        <f>IF(C6="",NA(),IF(OR(C6="Smelter not listed",C6="Smelter not yet identified"),MATCH($B6&amp;$D6,'[1]Smelter Look-up'!$J:$J,0),MATCH($B6&amp;$C6,'[1]Smelter Look-up'!$J:$J,0)))</f>
        <v>178</v>
      </c>
      <c r="X6" s="227">
        <f t="shared" si="0"/>
        <v>0</v>
      </c>
      <c r="AB6" s="228" t="str">
        <f t="shared" si="1"/>
        <v>GoldMetalor Technologies (Hong Kong) Ltd.</v>
      </c>
    </row>
    <row r="7" spans="1:34" s="227" customFormat="1" ht="20.100000000000001" customHeight="1">
      <c r="A7" s="262" t="s">
        <v>660</v>
      </c>
      <c r="B7" s="182" t="s">
        <v>1098</v>
      </c>
      <c r="C7" s="186" t="s">
        <v>51</v>
      </c>
      <c r="D7" s="230"/>
      <c r="E7" s="182" t="s">
        <v>1069</v>
      </c>
      <c r="F7" s="182" t="s">
        <v>660</v>
      </c>
      <c r="G7" s="182" t="s">
        <v>13177</v>
      </c>
      <c r="H7" s="183">
        <v>0</v>
      </c>
      <c r="I7" s="184" t="s">
        <v>1555</v>
      </c>
      <c r="J7" s="184" t="s">
        <v>15604</v>
      </c>
      <c r="K7" s="224"/>
      <c r="L7" s="224"/>
      <c r="M7" s="224"/>
      <c r="N7" s="224"/>
      <c r="O7" s="224"/>
      <c r="P7" s="185"/>
      <c r="Q7" s="225"/>
      <c r="R7" s="182" t="s">
        <v>2452</v>
      </c>
      <c r="S7" s="181" t="str">
        <f ca="1">IF(B7="","",IF(ISERROR(MATCH($E7,CL,0)),"Unknown",INDIRECT("'C'!$A$"&amp;MATCH($E7,CL,0)+1)))</f>
        <v>CN</v>
      </c>
      <c r="T7" s="181" t="str">
        <f ca="1">IF(B7="","",IF(ISERROR(MATCH($J7,[2]SorP!$B$1:$B$6226,0)),"",INDIRECT("'SorP'!$A$"&amp;MATCH($S7&amp;$J7,[2]SorP!C:C,0))))</f>
        <v>CN-HK</v>
      </c>
      <c r="U7" s="201"/>
      <c r="V7" s="226">
        <f>IF(C7="",NA(),IF(OR(C7="Smelter not listed",C7="Smelter not yet identified"),MATCH($B7&amp;$D7,'[2]Smelter Look-up'!$J:$J,0),MATCH($B7&amp;$C7,'[2]Smelter Look-up'!$J:$J,0)))</f>
        <v>109</v>
      </c>
      <c r="X7" s="227">
        <f t="shared" si="0"/>
        <v>0</v>
      </c>
      <c r="AB7" s="228" t="str">
        <f t="shared" si="1"/>
        <v>GoldHeraeus Ltd. Hong Kong</v>
      </c>
    </row>
    <row r="8" spans="1:34" s="227" customFormat="1" ht="20.100000000000001" customHeight="1">
      <c r="A8" s="262" t="s">
        <v>766</v>
      </c>
      <c r="B8" s="182" t="s">
        <v>1099</v>
      </c>
      <c r="C8" s="186" t="s">
        <v>48</v>
      </c>
      <c r="D8" s="230"/>
      <c r="E8" s="182" t="s">
        <v>1069</v>
      </c>
      <c r="F8" s="182" t="s">
        <v>766</v>
      </c>
      <c r="G8" s="182" t="s">
        <v>13177</v>
      </c>
      <c r="H8" s="183">
        <v>0</v>
      </c>
      <c r="I8" s="184" t="s">
        <v>2398</v>
      </c>
      <c r="J8" s="184" t="s">
        <v>13540</v>
      </c>
      <c r="K8" s="224"/>
      <c r="L8" s="224"/>
      <c r="M8" s="224"/>
      <c r="N8" s="224"/>
      <c r="O8" s="224"/>
      <c r="P8" s="185"/>
      <c r="Q8" s="225"/>
      <c r="R8" s="182" t="s">
        <v>15303</v>
      </c>
      <c r="S8" s="181" t="str">
        <f t="shared" ref="S8" ca="1" si="3">IF(B8="","",IF(ISERROR(MATCH($E8,CL,0)),"Unknown",INDIRECT("'C'!$A$"&amp;MATCH($E8,CL,0)+1)))</f>
        <v>CN</v>
      </c>
      <c r="T8" s="181" t="str">
        <f ca="1">IF(B8="","",IF(ISERROR(MATCH($J8,[2]SorP!$B$1:$B$6226,0)),"",INDIRECT("'SorP'!$A$"&amp;MATCH($S8&amp;$J8,[2]SorP!C:C,0))))</f>
        <v>CN-YN</v>
      </c>
      <c r="U8" s="201"/>
      <c r="V8" s="226">
        <f>IF(C8="",NA(),IF(OR(C8="Smelter not listed",C8="Smelter not yet identified"),MATCH($B8&amp;$D8,'[2]Smelter Look-up'!$J:$J,0),MATCH($B8&amp;$C8,'[2]Smelter Look-up'!$J:$J,0)))</f>
        <v>544</v>
      </c>
      <c r="X8" s="227">
        <f t="shared" si="0"/>
        <v>0</v>
      </c>
      <c r="AB8" s="228" t="str">
        <f t="shared" si="1"/>
        <v>TinYunnan Tin Company, Ltd.</v>
      </c>
    </row>
    <row r="9" spans="1:34" s="227" customFormat="1" ht="20.100000000000001" customHeight="1">
      <c r="A9" s="262"/>
      <c r="B9" s="182" t="s">
        <v>1099</v>
      </c>
      <c r="C9" s="186" t="s">
        <v>1003</v>
      </c>
      <c r="D9" s="230"/>
      <c r="E9" s="182" t="s">
        <v>851</v>
      </c>
      <c r="F9" s="182" t="s">
        <v>754</v>
      </c>
      <c r="G9" s="182" t="s">
        <v>13177</v>
      </c>
      <c r="H9" s="183">
        <v>0</v>
      </c>
      <c r="I9" s="184" t="s">
        <v>1743</v>
      </c>
      <c r="J9" s="184" t="s">
        <v>9062</v>
      </c>
      <c r="K9" s="224"/>
      <c r="L9" s="224"/>
      <c r="M9" s="224"/>
      <c r="N9" s="224"/>
      <c r="O9" s="224"/>
      <c r="P9" s="185"/>
      <c r="Q9" s="225"/>
      <c r="R9" s="182" t="s">
        <v>1003</v>
      </c>
      <c r="S9" s="181" t="str">
        <f t="shared" ref="S9:S32" ca="1" si="4">IF(B9="","",IF(ISERROR(MATCH($E9,CL,0)),"Unknown",INDIRECT("'C'!$A$"&amp;MATCH($E9,CL,0)+1)))</f>
        <v>PE</v>
      </c>
      <c r="T9" s="181" t="str">
        <f ca="1">IF(B9="","",IF(ISERROR(MATCH($J9,[3]SorP!$B$1:$B$6226,0)),"",INDIRECT("'SorP'!$A$"&amp;MATCH($S9&amp;$J9,[3]SorP!C:C,0))))</f>
        <v>PE-ICA</v>
      </c>
      <c r="U9" s="201"/>
      <c r="V9" s="226">
        <f>IF(C9="",NA(),IF(OR(C9="Smelter not listed",C9="Smelter not yet identified"),MATCH($B9&amp;$D9,'[3]Smelter Look-up'!$J:$J,0),MATCH($B9&amp;$C9,'[3]Smelter Look-up'!$J:$J,0)))</f>
        <v>481</v>
      </c>
      <c r="X9" s="227">
        <f t="shared" si="0"/>
        <v>0</v>
      </c>
      <c r="AB9" s="228" t="str">
        <f t="shared" si="1"/>
        <v>TinMinsur</v>
      </c>
    </row>
    <row r="10" spans="1:34" s="227" customFormat="1" ht="20.100000000000001" customHeight="1">
      <c r="A10" s="262"/>
      <c r="B10" s="182" t="s">
        <v>1099</v>
      </c>
      <c r="C10" s="186" t="s">
        <v>12377</v>
      </c>
      <c r="D10" s="230"/>
      <c r="E10" s="182" t="s">
        <v>1065</v>
      </c>
      <c r="F10" s="182" t="s">
        <v>753</v>
      </c>
      <c r="G10" s="182" t="s">
        <v>13177</v>
      </c>
      <c r="H10" s="183">
        <v>0</v>
      </c>
      <c r="I10" s="184" t="s">
        <v>15698</v>
      </c>
      <c r="J10" s="184" t="s">
        <v>1640</v>
      </c>
      <c r="K10" s="224"/>
      <c r="L10" s="224"/>
      <c r="M10" s="224"/>
      <c r="N10" s="224"/>
      <c r="O10" s="224"/>
      <c r="P10" s="185"/>
      <c r="Q10" s="225"/>
      <c r="R10" s="182" t="s">
        <v>12377</v>
      </c>
      <c r="S10" s="181" t="str">
        <f t="shared" ca="1" si="4"/>
        <v>BR</v>
      </c>
      <c r="T10" s="181" t="str">
        <f ca="1">IF(B10="","",IF(ISERROR(MATCH($J10,[3]SorP!$B$1:$B$6226,0)),"",INDIRECT("'SorP'!$A$"&amp;MATCH($S10&amp;$J10,[3]SorP!C:C,0))))</f>
        <v>BR-SP</v>
      </c>
      <c r="U10" s="201"/>
      <c r="V10" s="226">
        <f>IF(C10="",NA(),IF(OR(C10="Smelter not listed",C10="Smelter not yet identified"),MATCH($B10&amp;$D10,'[3]Smelter Look-up'!$J:$J,0),MATCH($B10&amp;$C10,'[3]Smelter Look-up'!$J:$J,0)))</f>
        <v>476</v>
      </c>
      <c r="X10" s="227">
        <f t="shared" si="0"/>
        <v>0</v>
      </c>
      <c r="AB10" s="228" t="str">
        <f t="shared" si="1"/>
        <v>TinMineracao Taboca S.A.</v>
      </c>
    </row>
    <row r="11" spans="1:34" s="227" customFormat="1" ht="20.100000000000001" customHeight="1">
      <c r="A11" s="262"/>
      <c r="B11" s="182" t="s">
        <v>1099</v>
      </c>
      <c r="C11" s="186" t="s">
        <v>13715</v>
      </c>
      <c r="D11" s="230"/>
      <c r="E11" s="182" t="s">
        <v>2382</v>
      </c>
      <c r="F11" s="182" t="s">
        <v>758</v>
      </c>
      <c r="G11" s="182" t="s">
        <v>13177</v>
      </c>
      <c r="H11" s="183">
        <v>0</v>
      </c>
      <c r="I11" s="184" t="s">
        <v>1728</v>
      </c>
      <c r="J11" s="184" t="s">
        <v>1728</v>
      </c>
      <c r="K11" s="224"/>
      <c r="L11" s="224"/>
      <c r="M11" s="224"/>
      <c r="N11" s="224"/>
      <c r="O11" s="224"/>
      <c r="P11" s="185"/>
      <c r="Q11" s="225"/>
      <c r="R11" s="182" t="s">
        <v>13715</v>
      </c>
      <c r="S11" s="181" t="str">
        <f t="shared" ca="1" si="4"/>
        <v>BO</v>
      </c>
      <c r="T11" s="181" t="str">
        <f ca="1">IF(B11="","",IF(ISERROR(MATCH($J11,[3]SorP!$B$1:$B$6226,0)),"",INDIRECT("'SorP'!$A$"&amp;MATCH($S11&amp;$J11,[3]SorP!C:C,0))))</f>
        <v>BO-O</v>
      </c>
      <c r="U11" s="201"/>
      <c r="V11" s="226">
        <f>IF(C11="",NA(),IF(OR(C11="Smelter not listed",C11="Smelter not yet identified"),MATCH($B11&amp;$D11,'[3]Smelter Look-up'!$J:$J,0),MATCH($B11&amp;$C11,'[3]Smelter Look-up'!$J:$J,0)))</f>
        <v>493</v>
      </c>
      <c r="X11" s="227">
        <f t="shared" si="0"/>
        <v>0</v>
      </c>
      <c r="AB11" s="228" t="str">
        <f t="shared" si="1"/>
        <v>TinOperaciones Metalurgicas S.A.</v>
      </c>
    </row>
    <row r="12" spans="1:34" s="227" customFormat="1" ht="20.100000000000001" customHeight="1">
      <c r="A12" s="262"/>
      <c r="B12" s="182" t="s">
        <v>1099</v>
      </c>
      <c r="C12" s="186" t="s">
        <v>814</v>
      </c>
      <c r="D12" s="230"/>
      <c r="E12" s="182" t="s">
        <v>2382</v>
      </c>
      <c r="F12" s="182" t="s">
        <v>745</v>
      </c>
      <c r="G12" s="182" t="s">
        <v>13177</v>
      </c>
      <c r="H12" s="183">
        <v>0</v>
      </c>
      <c r="I12" s="184" t="s">
        <v>1728</v>
      </c>
      <c r="J12" s="184" t="s">
        <v>1728</v>
      </c>
      <c r="K12" s="224"/>
      <c r="L12" s="224"/>
      <c r="M12" s="224"/>
      <c r="N12" s="224"/>
      <c r="O12" s="224"/>
      <c r="P12" s="185"/>
      <c r="Q12" s="225"/>
      <c r="R12" s="182" t="s">
        <v>814</v>
      </c>
      <c r="S12" s="181" t="str">
        <f t="shared" ca="1" si="4"/>
        <v>BO</v>
      </c>
      <c r="T12" s="181" t="str">
        <f ca="1">IF(B12="","",IF(ISERROR(MATCH($J12,[3]SorP!$B$1:$B$6226,0)),"",INDIRECT("'SorP'!$A$"&amp;MATCH($S12&amp;$J12,[3]SorP!C:C,0))))</f>
        <v>BO-O</v>
      </c>
      <c r="U12" s="201"/>
      <c r="V12" s="226">
        <f>IF(C12="",NA(),IF(OR(C12="Smelter not listed",C12="Smelter not yet identified"),MATCH($B12&amp;$D12,'[3]Smelter Look-up'!$J:$J,0),MATCH($B12&amp;$C12,'[3]Smelter Look-up'!$J:$J,0)))</f>
        <v>428</v>
      </c>
      <c r="X12" s="227">
        <f t="shared" si="0"/>
        <v>0</v>
      </c>
      <c r="AB12" s="228" t="str">
        <f t="shared" si="1"/>
        <v>TinEM Vinto</v>
      </c>
    </row>
    <row r="13" spans="1:34" s="227" customFormat="1" ht="20.100000000000001" customHeight="1">
      <c r="A13" s="262"/>
      <c r="B13" s="182" t="s">
        <v>1099</v>
      </c>
      <c r="C13" s="186" t="s">
        <v>2484</v>
      </c>
      <c r="D13" s="230"/>
      <c r="E13" s="182" t="s">
        <v>1065</v>
      </c>
      <c r="F13" s="182" t="s">
        <v>764</v>
      </c>
      <c r="G13" s="182" t="s">
        <v>13177</v>
      </c>
      <c r="H13" s="183">
        <v>0</v>
      </c>
      <c r="I13" s="184" t="s">
        <v>1725</v>
      </c>
      <c r="J13" s="184" t="s">
        <v>1729</v>
      </c>
      <c r="K13" s="224"/>
      <c r="L13" s="224"/>
      <c r="M13" s="224"/>
      <c r="N13" s="224"/>
      <c r="O13" s="224"/>
      <c r="P13" s="185"/>
      <c r="Q13" s="225"/>
      <c r="R13" s="182" t="s">
        <v>2484</v>
      </c>
      <c r="S13" s="181" t="str">
        <f t="shared" ca="1" si="4"/>
        <v>BR</v>
      </c>
      <c r="T13" s="181" t="str">
        <f ca="1">IF(B13="","",IF(ISERROR(MATCH($J13,[3]SorP!$B$1:$B$6226,0)),"",INDIRECT("'SorP'!$A$"&amp;MATCH($S13&amp;$J13,[3]SorP!C:C,0))))</f>
        <v>BR-RO</v>
      </c>
      <c r="U13" s="201"/>
      <c r="V13" s="226">
        <f>IF(C13="",NA(),IF(OR(C13="Smelter not listed",C13="Smelter not yet identified"),MATCH($B13&amp;$D13,'[3]Smelter Look-up'!$J:$J,0),MATCH($B13&amp;$C13,'[3]Smelter Look-up'!$J:$J,0)))</f>
        <v>530</v>
      </c>
      <c r="X13" s="227">
        <f t="shared" si="0"/>
        <v>0</v>
      </c>
      <c r="AB13" s="228" t="str">
        <f t="shared" si="1"/>
        <v>TinWhite Solder Metalurgia e Mineracao Ltda.</v>
      </c>
    </row>
    <row r="14" spans="1:34" s="227" customFormat="1" ht="20.100000000000001" customHeight="1">
      <c r="A14" s="262"/>
      <c r="B14" s="182" t="s">
        <v>1099</v>
      </c>
      <c r="C14" s="186" t="s">
        <v>788</v>
      </c>
      <c r="D14" s="230"/>
      <c r="E14" s="182" t="s">
        <v>853</v>
      </c>
      <c r="F14" s="182" t="s">
        <v>747</v>
      </c>
      <c r="G14" s="182" t="s">
        <v>13177</v>
      </c>
      <c r="H14" s="183">
        <v>0</v>
      </c>
      <c r="I14" s="184" t="s">
        <v>1730</v>
      </c>
      <c r="J14" s="184" t="s">
        <v>9448</v>
      </c>
      <c r="K14" s="224"/>
      <c r="L14" s="224"/>
      <c r="M14" s="224"/>
      <c r="N14" s="224"/>
      <c r="O14" s="224"/>
      <c r="P14" s="185"/>
      <c r="Q14" s="225"/>
      <c r="R14" s="182" t="s">
        <v>788</v>
      </c>
      <c r="S14" s="181" t="str">
        <f t="shared" ca="1" si="4"/>
        <v>PL</v>
      </c>
      <c r="T14" s="181" t="str">
        <f ca="1">IF(B14="","",IF(ISERROR(MATCH($J14,[3]SorP!$B$1:$B$6226,0)),"",INDIRECT("'SorP'!$A$"&amp;MATCH($S14&amp;$J14,[3]SorP!C:C,0))))</f>
        <v>PL-18</v>
      </c>
      <c r="U14" s="201"/>
      <c r="V14" s="226">
        <f>IF(C14="",NA(),IF(OR(C14="Smelter not listed",C14="Smelter not yet identified"),MATCH($B14&amp;$D14,'[3]Smelter Look-up'!$J:$J,0),MATCH($B14&amp;$C14,'[3]Smelter Look-up'!$J:$J,0)))</f>
        <v>437</v>
      </c>
      <c r="X14" s="227">
        <f t="shared" si="0"/>
        <v>0</v>
      </c>
      <c r="AB14" s="228" t="str">
        <f t="shared" si="1"/>
        <v>TinFenix Metals</v>
      </c>
    </row>
    <row r="15" spans="1:34" s="227" customFormat="1" ht="20.100000000000001" customHeight="1">
      <c r="A15" s="262"/>
      <c r="B15" s="182" t="s">
        <v>1099</v>
      </c>
      <c r="C15" s="186" t="s">
        <v>1000</v>
      </c>
      <c r="D15" s="230"/>
      <c r="E15" s="182" t="s">
        <v>859</v>
      </c>
      <c r="F15" s="182" t="s">
        <v>763</v>
      </c>
      <c r="G15" s="182" t="s">
        <v>13177</v>
      </c>
      <c r="H15" s="183">
        <v>0</v>
      </c>
      <c r="I15" s="184" t="s">
        <v>1752</v>
      </c>
      <c r="J15" s="184" t="s">
        <v>1753</v>
      </c>
      <c r="K15" s="224"/>
      <c r="L15" s="224"/>
      <c r="M15" s="224"/>
      <c r="N15" s="224"/>
      <c r="O15" s="224"/>
      <c r="P15" s="185"/>
      <c r="Q15" s="225"/>
      <c r="R15" s="182" t="s">
        <v>1000</v>
      </c>
      <c r="S15" s="181" t="str">
        <f t="shared" ca="1" si="4"/>
        <v>TH</v>
      </c>
      <c r="T15" s="181" t="str">
        <f ca="1">IF(B15="","",IF(ISERROR(MATCH($J15,[3]SorP!$B$1:$B$6226,0)),"",INDIRECT("'SorP'!$A$"&amp;MATCH($S15&amp;$J15,[3]SorP!C:C,0))))</f>
        <v>TH-83</v>
      </c>
      <c r="U15" s="201"/>
      <c r="V15" s="226">
        <f>IF(C15="",NA(),IF(OR(C15="Smelter not listed",C15="Smelter not yet identified"),MATCH($B15&amp;$D15,'[3]Smelter Look-up'!$J:$J,0),MATCH($B15&amp;$C15,'[3]Smelter Look-up'!$J:$J,0)))</f>
        <v>521</v>
      </c>
      <c r="X15" s="227">
        <f t="shared" si="0"/>
        <v>0</v>
      </c>
      <c r="AB15" s="228" t="str">
        <f t="shared" si="1"/>
        <v>TinThaisarco</v>
      </c>
    </row>
    <row r="16" spans="1:34" s="227" customFormat="1" ht="20.100000000000001" customHeight="1">
      <c r="A16" s="262"/>
      <c r="B16" s="182" t="s">
        <v>1099</v>
      </c>
      <c r="C16" s="186" t="s">
        <v>15341</v>
      </c>
      <c r="D16" s="230"/>
      <c r="E16" s="182" t="s">
        <v>1064</v>
      </c>
      <c r="F16" s="182" t="s">
        <v>1772</v>
      </c>
      <c r="G16" s="182" t="s">
        <v>13177</v>
      </c>
      <c r="H16" s="183">
        <v>0</v>
      </c>
      <c r="I16" s="184" t="s">
        <v>1773</v>
      </c>
      <c r="J16" s="184" t="s">
        <v>3104</v>
      </c>
      <c r="K16" s="224"/>
      <c r="L16" s="224"/>
      <c r="M16" s="224"/>
      <c r="N16" s="224"/>
      <c r="O16" s="224"/>
      <c r="P16" s="185"/>
      <c r="Q16" s="225"/>
      <c r="R16" s="182" t="s">
        <v>15341</v>
      </c>
      <c r="S16" s="181" t="str">
        <f t="shared" ca="1" si="4"/>
        <v>BE</v>
      </c>
      <c r="T16" s="181" t="str">
        <f ca="1">IF(B16="","",IF(ISERROR(MATCH($J16,[3]SorP!$B$1:$B$6226,0)),"",INDIRECT("'SorP'!$A$"&amp;MATCH($S16&amp;$J16,[3]SorP!C:C,0))))</f>
        <v>BE-VAN</v>
      </c>
      <c r="U16" s="201"/>
      <c r="V16" s="226">
        <f>IF(C16="",NA(),IF(OR(C16="Smelter not listed",C16="Smelter not yet identified"),MATCH($B16&amp;$D16,'[3]Smelter Look-up'!$J:$J,0),MATCH($B16&amp;$C16,'[3]Smelter Look-up'!$J:$J,0)))</f>
        <v>404</v>
      </c>
      <c r="X16" s="227">
        <f t="shared" si="0"/>
        <v>0</v>
      </c>
      <c r="AB16" s="228" t="str">
        <f t="shared" si="1"/>
        <v>TinAurubis Beerse</v>
      </c>
    </row>
    <row r="17" spans="1:28" s="227" customFormat="1" ht="20.100000000000001" customHeight="1">
      <c r="A17" s="262"/>
      <c r="B17" s="182" t="s">
        <v>1099</v>
      </c>
      <c r="C17" s="186" t="s">
        <v>1293</v>
      </c>
      <c r="D17" s="230"/>
      <c r="E17" s="182" t="s">
        <v>1069</v>
      </c>
      <c r="F17" s="182" t="s">
        <v>751</v>
      </c>
      <c r="G17" s="182" t="s">
        <v>13177</v>
      </c>
      <c r="H17" s="183">
        <v>0</v>
      </c>
      <c r="I17" s="184" t="s">
        <v>1734</v>
      </c>
      <c r="J17" s="184" t="s">
        <v>13515</v>
      </c>
      <c r="K17" s="224"/>
      <c r="L17" s="224"/>
      <c r="M17" s="224"/>
      <c r="N17" s="224"/>
      <c r="O17" s="224"/>
      <c r="P17" s="185"/>
      <c r="Q17" s="225"/>
      <c r="R17" s="182" t="s">
        <v>1293</v>
      </c>
      <c r="S17" s="181" t="str">
        <f t="shared" ca="1" si="4"/>
        <v>CN</v>
      </c>
      <c r="T17" s="181" t="str">
        <f ca="1">IF(B17="","",IF(ISERROR(MATCH($J17,[3]SorP!$B$1:$B$6226,0)),"",INDIRECT("'SorP'!$A$"&amp;MATCH($S17&amp;$J17,[3]SorP!C:C,0))))</f>
        <v>CN-GX</v>
      </c>
      <c r="U17" s="201"/>
      <c r="V17" s="226">
        <f>IF(C17="",NA(),IF(OR(C17="Smelter not listed",C17="Smelter not yet identified"),MATCH($B17&amp;$D17,'[3]Smelter Look-up'!$J:$J,0),MATCH($B17&amp;$C17,'[3]Smelter Look-up'!$J:$J,0)))</f>
        <v>411</v>
      </c>
      <c r="X17" s="227">
        <f t="shared" si="0"/>
        <v>0</v>
      </c>
      <c r="AB17" s="228" t="str">
        <f t="shared" si="1"/>
        <v>TinChina Tin Group Co., Ltd.</v>
      </c>
    </row>
    <row r="18" spans="1:28" s="227" customFormat="1" ht="20.100000000000001" customHeight="1">
      <c r="A18" s="181"/>
      <c r="B18" s="182" t="s">
        <v>1099</v>
      </c>
      <c r="C18" s="186" t="s">
        <v>793</v>
      </c>
      <c r="D18" s="230"/>
      <c r="E18" s="182" t="s">
        <v>1084</v>
      </c>
      <c r="F18" s="182" t="s">
        <v>752</v>
      </c>
      <c r="G18" s="182" t="s">
        <v>13177</v>
      </c>
      <c r="H18" s="183">
        <v>0</v>
      </c>
      <c r="I18" s="184" t="s">
        <v>1739</v>
      </c>
      <c r="J18" s="184" t="s">
        <v>8635</v>
      </c>
      <c r="K18" s="224"/>
      <c r="L18" s="224"/>
      <c r="M18" s="224"/>
      <c r="N18" s="224"/>
      <c r="O18" s="224"/>
      <c r="P18" s="185"/>
      <c r="Q18" s="225"/>
      <c r="R18" s="182" t="s">
        <v>793</v>
      </c>
      <c r="S18" s="181" t="str">
        <f t="shared" ca="1" si="4"/>
        <v>MY</v>
      </c>
      <c r="T18" s="181" t="str">
        <f ca="1">IF(B18="","",IF(ISERROR(MATCH($J18,[3]SorP!$B$1:$B$6226,0)),"",INDIRECT("'SorP'!$A$"&amp;MATCH($S18&amp;$J18,[3]SorP!C:C,0))))</f>
        <v>MY-07</v>
      </c>
      <c r="U18" s="201"/>
      <c r="V18" s="226">
        <f>IF(C18="",NA(),IF(OR(C18="Smelter not listed",C18="Smelter not yet identified"),MATCH($B18&amp;$D18,'[3]Smelter Look-up'!$J:$J,0),MATCH($B18&amp;$C18,'[3]Smelter Look-up'!$J:$J,0)))</f>
        <v>468</v>
      </c>
      <c r="X18" s="227">
        <f t="shared" si="0"/>
        <v>0</v>
      </c>
      <c r="AB18" s="228" t="str">
        <f t="shared" si="1"/>
        <v>TinMalaysia Smelting Corporation (MSC)</v>
      </c>
    </row>
    <row r="19" spans="1:28" s="227" customFormat="1" ht="20.100000000000001" customHeight="1">
      <c r="A19" s="181"/>
      <c r="B19" s="182" t="s">
        <v>1099</v>
      </c>
      <c r="C19" s="186" t="s">
        <v>15688</v>
      </c>
      <c r="D19" s="230"/>
      <c r="E19" s="182" t="s">
        <v>2384</v>
      </c>
      <c r="F19" s="182" t="s">
        <v>744</v>
      </c>
      <c r="G19" s="182" t="s">
        <v>13177</v>
      </c>
      <c r="H19" s="183">
        <v>0</v>
      </c>
      <c r="I19" s="184" t="s">
        <v>1719</v>
      </c>
      <c r="J19" s="184" t="s">
        <v>1699</v>
      </c>
      <c r="K19" s="224"/>
      <c r="L19" s="224"/>
      <c r="M19" s="224"/>
      <c r="N19" s="224"/>
      <c r="O19" s="224"/>
      <c r="P19" s="185"/>
      <c r="Q19" s="225"/>
      <c r="R19" s="182" t="s">
        <v>15688</v>
      </c>
      <c r="S19" s="181" t="str">
        <f t="shared" ca="1" si="4"/>
        <v>US</v>
      </c>
      <c r="T19" s="181" t="str">
        <f ca="1">IF(B19="","",IF(ISERROR(MATCH($J19,[3]SorP!$B$1:$B$6226,0)),"",INDIRECT("'SorP'!$A$"&amp;MATCH($S19&amp;$J19,[3]SorP!C:C,0))))</f>
        <v>US-PA</v>
      </c>
      <c r="U19" s="201"/>
      <c r="V19" s="226">
        <f>IF(C19="",NA(),IF(OR(C19="Smelter not listed",C19="Smelter not yet identified"),MATCH($B19&amp;$D19,'[3]Smelter Look-up'!$J:$J,0),MATCH($B19&amp;$C19,'[3]Smelter Look-up'!$J:$J,0)))</f>
        <v>399</v>
      </c>
      <c r="X19" s="227">
        <f t="shared" si="0"/>
        <v>0</v>
      </c>
      <c r="AB19" s="228" t="str">
        <f t="shared" si="1"/>
        <v>TinAlpha Assembly Solutions Inc</v>
      </c>
    </row>
    <row r="20" spans="1:28" s="227" customFormat="1" ht="20.100000000000001" customHeight="1">
      <c r="A20" s="181"/>
      <c r="B20" s="182" t="s">
        <v>1099</v>
      </c>
      <c r="C20" s="186" t="s">
        <v>2120</v>
      </c>
      <c r="D20" s="230"/>
      <c r="E20" s="182" t="s">
        <v>1069</v>
      </c>
      <c r="F20" s="182" t="s">
        <v>765</v>
      </c>
      <c r="G20" s="182" t="s">
        <v>13177</v>
      </c>
      <c r="H20" s="183">
        <v>0</v>
      </c>
      <c r="I20" s="184" t="s">
        <v>2398</v>
      </c>
      <c r="J20" s="184" t="s">
        <v>13540</v>
      </c>
      <c r="K20" s="224"/>
      <c r="L20" s="224"/>
      <c r="M20" s="224"/>
      <c r="N20" s="224"/>
      <c r="O20" s="224"/>
      <c r="P20" s="185"/>
      <c r="Q20" s="225"/>
      <c r="R20" s="182" t="s">
        <v>2120</v>
      </c>
      <c r="S20" s="181" t="str">
        <f t="shared" ca="1" si="4"/>
        <v>CN</v>
      </c>
      <c r="T20" s="181" t="str">
        <f ca="1">IF(B20="","",IF(ISERROR(MATCH($J20,[3]SorP!$B$1:$B$6226,0)),"",INDIRECT("'SorP'!$A$"&amp;MATCH($S20&amp;$J20,[3]SorP!C:C,0))))</f>
        <v>CN-YN</v>
      </c>
      <c r="U20" s="201"/>
      <c r="V20" s="226">
        <f>IF(C20="",NA(),IF(OR(C20="Smelter not listed",C20="Smelter not yet identified"),MATCH($B20&amp;$D20,'[3]Smelter Look-up'!$J:$J,0),MATCH($B20&amp;$C20,'[3]Smelter Look-up'!$J:$J,0)))</f>
        <v>539</v>
      </c>
      <c r="X20" s="227">
        <f t="shared" si="0"/>
        <v>0</v>
      </c>
      <c r="AB20" s="228" t="str">
        <f t="shared" si="1"/>
        <v>TinYunnan Chengfeng Non-ferrous Metals Co., Ltd.</v>
      </c>
    </row>
    <row r="21" spans="1:28" s="227" customFormat="1" ht="24.75" customHeight="1">
      <c r="A21" s="181"/>
      <c r="B21" s="182" t="s">
        <v>1099</v>
      </c>
      <c r="C21" s="186" t="s">
        <v>2104</v>
      </c>
      <c r="D21" s="230"/>
      <c r="E21" s="182" t="s">
        <v>2384</v>
      </c>
      <c r="F21" s="182" t="s">
        <v>1740</v>
      </c>
      <c r="G21" s="182" t="s">
        <v>13177</v>
      </c>
      <c r="H21" s="183">
        <v>0</v>
      </c>
      <c r="I21" s="184" t="s">
        <v>1741</v>
      </c>
      <c r="J21" s="184" t="s">
        <v>1601</v>
      </c>
      <c r="K21" s="224"/>
      <c r="L21" s="224"/>
      <c r="M21" s="224"/>
      <c r="N21" s="224"/>
      <c r="O21" s="224"/>
      <c r="P21" s="185"/>
      <c r="Q21" s="225"/>
      <c r="R21" s="182" t="s">
        <v>2104</v>
      </c>
      <c r="S21" s="181" t="str">
        <f t="shared" ca="1" si="4"/>
        <v>US</v>
      </c>
      <c r="T21" s="181" t="str">
        <f ca="1">IF(B21="","",IF(ISERROR(MATCH($J21,[3]SorP!$B$1:$B$6226,0)),"",INDIRECT("'SorP'!$A$"&amp;MATCH($S21&amp;$J21,[3]SorP!C:C,0))))</f>
        <v>US-OH</v>
      </c>
      <c r="U21" s="201"/>
      <c r="V21" s="226">
        <f>IF(C21="",NA(),IF(OR(C21="Smelter not listed",C21="Smelter not yet identified"),MATCH($B21&amp;$D21,'[3]Smelter Look-up'!$J:$J,0),MATCH($B21&amp;$C21,'[3]Smelter Look-up'!$J:$J,0)))</f>
        <v>473</v>
      </c>
      <c r="X21" s="227">
        <f t="shared" si="0"/>
        <v>0</v>
      </c>
      <c r="AB21" s="228" t="str">
        <f t="shared" si="1"/>
        <v>TinMetallic Resources, Inc.</v>
      </c>
    </row>
    <row r="22" spans="1:28" s="227" customFormat="1" ht="24" customHeight="1">
      <c r="A22" s="181"/>
      <c r="B22" s="182" t="s">
        <v>1099</v>
      </c>
      <c r="C22" s="186" t="s">
        <v>877</v>
      </c>
      <c r="D22" s="230"/>
      <c r="E22" s="182" t="s">
        <v>1077</v>
      </c>
      <c r="F22" s="182" t="s">
        <v>1374</v>
      </c>
      <c r="G22" s="182" t="s">
        <v>13177</v>
      </c>
      <c r="H22" s="183">
        <v>0</v>
      </c>
      <c r="I22" s="184" t="s">
        <v>1541</v>
      </c>
      <c r="J22" s="184" t="s">
        <v>1542</v>
      </c>
      <c r="K22" s="224"/>
      <c r="L22" s="224"/>
      <c r="M22" s="224"/>
      <c r="N22" s="224"/>
      <c r="O22" s="224"/>
      <c r="P22" s="185"/>
      <c r="Q22" s="225"/>
      <c r="R22" s="182" t="s">
        <v>877</v>
      </c>
      <c r="S22" s="181" t="str">
        <f t="shared" ca="1" si="4"/>
        <v>JP</v>
      </c>
      <c r="T22" s="181" t="str">
        <f ca="1">IF(B22="","",IF(ISERROR(MATCH($J22,[3]SorP!$B$1:$B$6226,0)),"",INDIRECT("'SorP'!$A$"&amp;MATCH($S22&amp;$J22,[3]SorP!C:C,0))))</f>
        <v>JP-05</v>
      </c>
      <c r="U22" s="201"/>
      <c r="V22" s="226">
        <f>IF(C22="",NA(),IF(OR(C22="Smelter not listed",C22="Smelter not yet identified"),MATCH($B22&amp;$D22,'[3]Smelter Look-up'!$J:$J,0),MATCH($B22&amp;$C22,'[3]Smelter Look-up'!$J:$J,0)))</f>
        <v>425</v>
      </c>
      <c r="X22" s="227">
        <f t="shared" si="0"/>
        <v>0</v>
      </c>
      <c r="AB22" s="228" t="str">
        <f t="shared" si="1"/>
        <v>TinDowa</v>
      </c>
    </row>
    <row r="23" spans="1:28" s="227" customFormat="1" ht="34.5" customHeight="1">
      <c r="A23" s="181"/>
      <c r="B23" s="182" t="s">
        <v>1099</v>
      </c>
      <c r="C23" s="186" t="s">
        <v>2482</v>
      </c>
      <c r="D23" s="230"/>
      <c r="E23" s="182" t="s">
        <v>1065</v>
      </c>
      <c r="F23" s="182" t="s">
        <v>2483</v>
      </c>
      <c r="G23" s="182" t="s">
        <v>13177</v>
      </c>
      <c r="H23" s="183">
        <v>0</v>
      </c>
      <c r="I23" s="184" t="s">
        <v>2491</v>
      </c>
      <c r="J23" s="184" t="s">
        <v>1640</v>
      </c>
      <c r="K23" s="224"/>
      <c r="L23" s="224"/>
      <c r="M23" s="224"/>
      <c r="N23" s="224"/>
      <c r="O23" s="224"/>
      <c r="P23" s="185"/>
      <c r="Q23" s="225"/>
      <c r="R23" s="182" t="s">
        <v>2482</v>
      </c>
      <c r="S23" s="181" t="str">
        <f t="shared" ca="1" si="4"/>
        <v>BR</v>
      </c>
      <c r="T23" s="181" t="str">
        <f ca="1">IF(B23="","",IF(ISERROR(MATCH($J23,[3]SorP!$B$1:$B$6226,0)),"",INDIRECT("'SorP'!$A$"&amp;MATCH($S23&amp;$J23,[3]SorP!C:C,0))))</f>
        <v>BR-SP</v>
      </c>
      <c r="U23" s="201"/>
      <c r="V23" s="226">
        <f>IF(C23="",NA(),IF(OR(C23="Smelter not listed",C23="Smelter not yet identified"),MATCH($B23&amp;$D23,'[3]Smelter Look-up'!$J:$J,0),MATCH($B23&amp;$C23,'[3]Smelter Look-up'!$J:$J,0)))</f>
        <v>517</v>
      </c>
      <c r="X23" s="227">
        <f t="shared" si="0"/>
        <v>0</v>
      </c>
      <c r="AB23" s="228" t="str">
        <f t="shared" si="1"/>
        <v>TinSuper Ligas</v>
      </c>
    </row>
    <row r="24" spans="1:28" s="227" customFormat="1" ht="24.75" customHeight="1">
      <c r="A24" s="181"/>
      <c r="B24" s="182" t="s">
        <v>1099</v>
      </c>
      <c r="C24" s="186" t="s">
        <v>13121</v>
      </c>
      <c r="D24" s="230"/>
      <c r="E24" s="182" t="s">
        <v>2384</v>
      </c>
      <c r="F24" s="182" t="s">
        <v>13122</v>
      </c>
      <c r="G24" s="182" t="s">
        <v>13177</v>
      </c>
      <c r="H24" s="183">
        <v>0</v>
      </c>
      <c r="I24" s="184" t="s">
        <v>13123</v>
      </c>
      <c r="J24" s="184" t="s">
        <v>1699</v>
      </c>
      <c r="K24" s="224"/>
      <c r="L24" s="224"/>
      <c r="M24" s="224"/>
      <c r="N24" s="224"/>
      <c r="O24" s="224"/>
      <c r="P24" s="185"/>
      <c r="Q24" s="225"/>
      <c r="R24" s="182" t="s">
        <v>13121</v>
      </c>
      <c r="S24" s="181" t="str">
        <f t="shared" ca="1" si="4"/>
        <v>US</v>
      </c>
      <c r="T24" s="181" t="str">
        <f ca="1">IF(B24="","",IF(ISERROR(MATCH($J24,[3]SorP!$B$1:$B$6226,0)),"",INDIRECT("'SorP'!$A$"&amp;MATCH($S24&amp;$J24,[3]SorP!C:C,0))))</f>
        <v>US-PA</v>
      </c>
      <c r="U24" s="201"/>
      <c r="V24" s="226">
        <f>IF(C24="",NA(),IF(OR(C24="Smelter not listed",C24="Smelter not yet identified"),MATCH($B24&amp;$D24,'[3]Smelter Look-up'!$J:$J,0),MATCH($B24&amp;$C24,'[3]Smelter Look-up'!$J:$J,0)))</f>
        <v>525</v>
      </c>
      <c r="X24" s="227">
        <f t="shared" si="0"/>
        <v>0</v>
      </c>
      <c r="AB24" s="228" t="str">
        <f t="shared" si="1"/>
        <v>TinTin Technology &amp; Refining</v>
      </c>
    </row>
    <row r="25" spans="1:28" s="227" customFormat="1" ht="31.5" customHeight="1">
      <c r="A25" s="181"/>
      <c r="B25" s="182" t="s">
        <v>1099</v>
      </c>
      <c r="C25" s="186" t="s">
        <v>2121</v>
      </c>
      <c r="D25" s="230"/>
      <c r="E25" s="182" t="s">
        <v>1065</v>
      </c>
      <c r="F25" s="182" t="s">
        <v>131</v>
      </c>
      <c r="G25" s="182" t="s">
        <v>13177</v>
      </c>
      <c r="H25" s="183">
        <v>0</v>
      </c>
      <c r="I25" s="184" t="s">
        <v>1683</v>
      </c>
      <c r="J25" s="184" t="s">
        <v>1515</v>
      </c>
      <c r="K25" s="224"/>
      <c r="L25" s="224"/>
      <c r="M25" s="224"/>
      <c r="N25" s="224"/>
      <c r="O25" s="224"/>
      <c r="P25" s="185"/>
      <c r="Q25" s="225"/>
      <c r="R25" s="182" t="s">
        <v>2121</v>
      </c>
      <c r="S25" s="181" t="str">
        <f t="shared" ca="1" si="4"/>
        <v>BR</v>
      </c>
      <c r="T25" s="181" t="str">
        <f ca="1">IF(B25="","",IF(ISERROR(MATCH($J25,[3]SorP!$B$1:$B$6226,0)),"",INDIRECT("'SorP'!$A$"&amp;MATCH($S25&amp;$J25,[3]SorP!C:C,0))))</f>
        <v>BR-MG</v>
      </c>
      <c r="U25" s="201"/>
      <c r="V25" s="226">
        <f>IF(C25="",NA(),IF(OR(C25="Smelter not listed",C25="Smelter not yet identified"),MATCH($B25&amp;$D25,'[3]Smelter Look-up'!$J:$J,0),MATCH($B25&amp;$C25,'[3]Smelter Look-up'!$J:$J,0)))</f>
        <v>467</v>
      </c>
      <c r="X25" s="227">
        <f t="shared" si="0"/>
        <v>0</v>
      </c>
      <c r="AB25" s="228" t="str">
        <f t="shared" si="1"/>
        <v>TinMagnu's Minerais Metais e Ligas Ltda.</v>
      </c>
    </row>
    <row r="26" spans="1:28" s="227" customFormat="1" ht="22.5" customHeight="1">
      <c r="A26" s="181"/>
      <c r="B26" s="182" t="s">
        <v>1099</v>
      </c>
      <c r="C26" s="186" t="s">
        <v>15303</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4"/>
        <v>CN</v>
      </c>
      <c r="T26" s="181" t="str">
        <f ca="1">IF(B26="","",IF(ISERROR(MATCH($J26,[3]SorP!$B$1:$B$6226,0)),"",INDIRECT("'SorP'!$A$"&amp;MATCH($S26&amp;$J26,[3]SorP!C:C,0))))</f>
        <v>CN-YN</v>
      </c>
      <c r="U26" s="201"/>
      <c r="V26" s="226">
        <f>IF(C26="",NA(),IF(OR(C26="Smelter not listed",C26="Smelter not yet identified"),MATCH($B26&amp;$D26,'[3]Smelter Look-up'!$J:$J,0),MATCH($B26&amp;$C26,'[3]Smelter Look-up'!$J:$J,0)))</f>
        <v>524</v>
      </c>
      <c r="X26" s="227">
        <f t="shared" si="0"/>
        <v>0</v>
      </c>
      <c r="AB26" s="228" t="str">
        <f t="shared" si="1"/>
        <v>TinTin Smelting Branch of Yunnan Tin Co., Ltd.</v>
      </c>
    </row>
    <row r="27" spans="1:28" s="227" customFormat="1" ht="39.75" customHeight="1">
      <c r="A27" s="181"/>
      <c r="B27" s="182" t="s">
        <v>1099</v>
      </c>
      <c r="C27" s="186" t="s">
        <v>2480</v>
      </c>
      <c r="D27" s="230"/>
      <c r="E27" s="182" t="s">
        <v>1069</v>
      </c>
      <c r="F27" s="182" t="s">
        <v>2481</v>
      </c>
      <c r="G27" s="182" t="s">
        <v>13177</v>
      </c>
      <c r="H27" s="183">
        <v>0</v>
      </c>
      <c r="I27" s="184" t="s">
        <v>1781</v>
      </c>
      <c r="J27" s="184" t="s">
        <v>13536</v>
      </c>
      <c r="K27" s="224"/>
      <c r="L27" s="224"/>
      <c r="M27" s="224"/>
      <c r="N27" s="224"/>
      <c r="O27" s="224"/>
      <c r="P27" s="185"/>
      <c r="Q27" s="225"/>
      <c r="R27" s="182" t="s">
        <v>2480</v>
      </c>
      <c r="S27" s="181" t="str">
        <f t="shared" ca="1" si="4"/>
        <v>CN</v>
      </c>
      <c r="T27" s="181" t="str">
        <f ca="1">IF(B27="","",IF(ISERROR(MATCH($J27,[3]SorP!$B$1:$B$6226,0)),"",INDIRECT("'SorP'!$A$"&amp;MATCH($S27&amp;$J27,[3]SorP!C:C,0))))</f>
        <v>CN-GD</v>
      </c>
      <c r="U27" s="201"/>
      <c r="V27" s="226">
        <f>IF(C27="",NA(),IF(OR(C27="Smelter not listed",C27="Smelter not yet identified"),MATCH($B27&amp;$D27,'[3]Smelter Look-up'!$J:$J,0),MATCH($B27&amp;$C27,'[3]Smelter Look-up'!$J:$J,0)))</f>
        <v>450</v>
      </c>
      <c r="X27" s="227">
        <f t="shared" si="0"/>
        <v>0</v>
      </c>
      <c r="AB27" s="228" t="str">
        <f t="shared" si="1"/>
        <v>TinGuangdong Hanhe Non-Ferrous Metal Co., Ltd.</v>
      </c>
    </row>
    <row r="28" spans="1:28" s="227" customFormat="1" ht="30.75" customHeight="1">
      <c r="A28" s="181"/>
      <c r="B28" s="182" t="s">
        <v>1099</v>
      </c>
      <c r="C28" s="186" t="s">
        <v>1131</v>
      </c>
      <c r="D28" s="230"/>
      <c r="E28" s="182" t="s">
        <v>1077</v>
      </c>
      <c r="F28" s="182" t="s">
        <v>755</v>
      </c>
      <c r="G28" s="182" t="s">
        <v>13177</v>
      </c>
      <c r="H28" s="183">
        <v>0</v>
      </c>
      <c r="I28" s="184" t="s">
        <v>15643</v>
      </c>
      <c r="J28" s="184" t="s">
        <v>6618</v>
      </c>
      <c r="K28" s="224"/>
      <c r="L28" s="224"/>
      <c r="M28" s="224"/>
      <c r="N28" s="224"/>
      <c r="O28" s="224"/>
      <c r="P28" s="185"/>
      <c r="Q28" s="225"/>
      <c r="R28" s="182" t="s">
        <v>1131</v>
      </c>
      <c r="S28" s="181" t="str">
        <f t="shared" ca="1" si="4"/>
        <v>JP</v>
      </c>
      <c r="T28" s="181" t="str">
        <f ca="1">IF(B28="","",IF(ISERROR(MATCH($J28,[3]SorP!$B$1:$B$6226,0)),"",INDIRECT("'SorP'!$A$"&amp;MATCH($S28&amp;$J28,[3]SorP!C:C,0))))</f>
        <v>JP-28</v>
      </c>
      <c r="U28" s="201"/>
      <c r="V28" s="226">
        <f>IF(C28="",NA(),IF(OR(C28="Smelter not listed",C28="Smelter not yet identified"),MATCH($B28&amp;$D28,'[3]Smelter Look-up'!$J:$J,0),MATCH($B28&amp;$C28,'[3]Smelter Look-up'!$J:$J,0)))</f>
        <v>482</v>
      </c>
      <c r="X28" s="227">
        <f t="shared" si="0"/>
        <v>0</v>
      </c>
      <c r="AB28" s="228" t="str">
        <f t="shared" si="1"/>
        <v>TinMitsubishi Materials Corporation</v>
      </c>
    </row>
    <row r="29" spans="1:28" s="227" customFormat="1" ht="42" customHeight="1">
      <c r="A29" s="181"/>
      <c r="B29" s="182" t="s">
        <v>1099</v>
      </c>
      <c r="C29" s="186" t="s">
        <v>12876</v>
      </c>
      <c r="D29" s="230"/>
      <c r="E29" s="182" t="s">
        <v>1069</v>
      </c>
      <c r="F29" s="182" t="s">
        <v>12877</v>
      </c>
      <c r="G29" s="182" t="s">
        <v>13177</v>
      </c>
      <c r="H29" s="183">
        <v>0</v>
      </c>
      <c r="I29" s="184" t="s">
        <v>12893</v>
      </c>
      <c r="J29" s="184" t="s">
        <v>13514</v>
      </c>
      <c r="K29" s="224"/>
      <c r="L29" s="224"/>
      <c r="M29" s="224"/>
      <c r="N29" s="224"/>
      <c r="O29" s="224"/>
      <c r="P29" s="185"/>
      <c r="Q29" s="225"/>
      <c r="R29" s="182" t="s">
        <v>12876</v>
      </c>
      <c r="S29" s="181" t="str">
        <f t="shared" ca="1" si="4"/>
        <v>CN</v>
      </c>
      <c r="T29" s="181" t="str">
        <f ca="1">IF(B29="","",IF(ISERROR(MATCH($J29,[3]SorP!$B$1:$B$6226,0)),"",INDIRECT("'SorP'!$A$"&amp;MATCH($S29&amp;$J29,[3]SorP!C:C,0))))</f>
        <v>CN-NM</v>
      </c>
      <c r="U29" s="201"/>
      <c r="V29" s="226">
        <f>IF(C29="",NA(),IF(OR(C29="Smelter not listed",C29="Smelter not yet identified"),MATCH($B29&amp;$D29,'[3]Smelter Look-up'!$J:$J,0),MATCH($B29&amp;$C29,'[3]Smelter Look-up'!$J:$J,0)))</f>
        <v>409</v>
      </c>
      <c r="X29" s="227">
        <f t="shared" si="0"/>
        <v>0</v>
      </c>
      <c r="AB29" s="228" t="str">
        <f t="shared" si="1"/>
        <v>TinChifeng Dajingzi Tin Industry Co., Ltd.</v>
      </c>
    </row>
    <row r="30" spans="1:28" s="227" customFormat="1" ht="38.25">
      <c r="A30" s="181"/>
      <c r="B30" s="182" t="s">
        <v>1099</v>
      </c>
      <c r="C30" s="186" t="s">
        <v>14957</v>
      </c>
      <c r="D30" s="230"/>
      <c r="E30" s="182" t="s">
        <v>1071</v>
      </c>
      <c r="F30" s="182" t="s">
        <v>14958</v>
      </c>
      <c r="G30" s="182" t="s">
        <v>13177</v>
      </c>
      <c r="H30" s="183">
        <v>0</v>
      </c>
      <c r="I30" s="184" t="s">
        <v>15696</v>
      </c>
      <c r="J30" s="184" t="s">
        <v>3602</v>
      </c>
      <c r="K30" s="224"/>
      <c r="L30" s="224"/>
      <c r="M30" s="224"/>
      <c r="N30" s="224"/>
      <c r="O30" s="224"/>
      <c r="P30" s="185"/>
      <c r="Q30" s="225"/>
      <c r="R30" s="182" t="s">
        <v>14957</v>
      </c>
      <c r="S30" s="181" t="str">
        <f t="shared" ca="1" si="4"/>
        <v>ES</v>
      </c>
      <c r="T30" s="181" t="str">
        <f ca="1">IF(B30="","",IF(ISERROR(MATCH($J30,[3]SorP!$B$1:$B$6226,0)),"",INDIRECT("'SorP'!$A$"&amp;MATCH($S30&amp;$J30,[3]SorP!C:C,0))))</f>
        <v>ES-TO</v>
      </c>
      <c r="U30" s="201"/>
      <c r="V30" s="226">
        <f>IF(C30="",NA(),IF(OR(C30="Smelter not listed",C30="Smelter not yet identified"),MATCH($B30&amp;$D30,'[3]Smelter Look-up'!$J:$J,0),MATCH($B30&amp;$C30,'[3]Smelter Look-up'!$J:$J,0)))</f>
        <v>419</v>
      </c>
      <c r="X30" s="227">
        <f t="shared" si="0"/>
        <v>0</v>
      </c>
      <c r="AB30" s="228" t="str">
        <f t="shared" si="1"/>
        <v>TinCRM Synergies</v>
      </c>
    </row>
    <row r="31" spans="1:28" s="227" customFormat="1" ht="102">
      <c r="A31" s="181"/>
      <c r="B31" s="182" t="s">
        <v>1099</v>
      </c>
      <c r="C31" s="186" t="s">
        <v>15634</v>
      </c>
      <c r="D31" s="230"/>
      <c r="E31" s="182" t="s">
        <v>1084</v>
      </c>
      <c r="F31" s="182" t="s">
        <v>15635</v>
      </c>
      <c r="G31" s="182" t="s">
        <v>13177</v>
      </c>
      <c r="H31" s="183">
        <v>0</v>
      </c>
      <c r="I31" s="184" t="s">
        <v>15645</v>
      </c>
      <c r="J31" s="184" t="s">
        <v>8641</v>
      </c>
      <c r="K31" s="224"/>
      <c r="L31" s="224"/>
      <c r="M31" s="224"/>
      <c r="N31" s="224"/>
      <c r="O31" s="224"/>
      <c r="P31" s="185"/>
      <c r="Q31" s="225"/>
      <c r="R31" s="182" t="s">
        <v>15634</v>
      </c>
      <c r="S31" s="181" t="str">
        <f t="shared" ca="1" si="4"/>
        <v>MY</v>
      </c>
      <c r="T31" s="181" t="str">
        <f ca="1">IF(B31="","",IF(ISERROR(MATCH($J31,[3]SorP!$B$1:$B$6226,0)),"",INDIRECT("'SorP'!$A$"&amp;MATCH($S31&amp;$J31,[3]SorP!C:C,0))))</f>
        <v>MY-10</v>
      </c>
      <c r="U31" s="201"/>
      <c r="V31" s="226">
        <f>IF(C31="",NA(),IF(OR(C31="Smelter not listed",C31="Smelter not yet identified"),MATCH($B31&amp;$D31,'[3]Smelter Look-up'!$J:$J,0),MATCH($B31&amp;$C31,'[3]Smelter Look-up'!$J:$J,0)))</f>
        <v>469</v>
      </c>
      <c r="X31" s="227">
        <f t="shared" si="0"/>
        <v>0</v>
      </c>
      <c r="AB31" s="228" t="str">
        <f t="shared" si="1"/>
        <v>TinMalaysia Smelting Corporation Berhad (Port Klang)</v>
      </c>
    </row>
    <row r="32" spans="1:28" s="227" customFormat="1" ht="35.25" customHeight="1">
      <c r="A32" s="181"/>
      <c r="B32" s="182" t="s">
        <v>1099</v>
      </c>
      <c r="C32" s="186" t="s">
        <v>2287</v>
      </c>
      <c r="D32" s="230"/>
      <c r="E32" s="182" t="s">
        <v>1069</v>
      </c>
      <c r="F32" s="182" t="s">
        <v>2230</v>
      </c>
      <c r="G32" s="182" t="s">
        <v>13177</v>
      </c>
      <c r="H32" s="183">
        <v>0</v>
      </c>
      <c r="I32" s="184" t="s">
        <v>1733</v>
      </c>
      <c r="J32" s="184" t="s">
        <v>13535</v>
      </c>
      <c r="K32" s="224"/>
      <c r="L32" s="224"/>
      <c r="M32" s="224"/>
      <c r="N32" s="224"/>
      <c r="O32" s="224"/>
      <c r="P32" s="185"/>
      <c r="Q32" s="225"/>
      <c r="R32" s="182" t="s">
        <v>2287</v>
      </c>
      <c r="S32" s="181" t="str">
        <f t="shared" ca="1" si="4"/>
        <v>CN</v>
      </c>
      <c r="T32" s="181" t="str">
        <f ca="1">IF(B32="","",IF(ISERROR(MATCH($J32,[3]SorP!$B$1:$B$6226,0)),"",INDIRECT("'SorP'!$A$"&amp;MATCH($S32&amp;$J32,[3]SorP!C:C,0))))</f>
        <v>CN-HN</v>
      </c>
      <c r="U32" s="201"/>
      <c r="V32" s="226">
        <f>IF(C32="",NA(),IF(OR(C32="Smelter not listed",C32="Smelter not yet identified"),MATCH($B32&amp;$D32,'[3]Smelter Look-up'!$J:$J,0),MATCH($B32&amp;$C32,'[3]Smelter Look-up'!$J:$J,0)))</f>
        <v>408</v>
      </c>
      <c r="X32" s="227">
        <f t="shared" si="0"/>
        <v>0</v>
      </c>
      <c r="AB32" s="228" t="str">
        <f t="shared" si="1"/>
        <v>TinChenzhou Yunxiang Mining and Metallurgy Co., Ltd.</v>
      </c>
    </row>
    <row r="33" spans="1:28" s="227" customFormat="1" ht="33.75" customHeight="1">
      <c r="A33" s="181"/>
      <c r="B33" s="182" t="s">
        <v>1099</v>
      </c>
      <c r="C33" s="186" t="s">
        <v>15306</v>
      </c>
      <c r="D33" s="230"/>
      <c r="E33" s="182" t="s">
        <v>1074</v>
      </c>
      <c r="F33" s="182" t="s">
        <v>15307</v>
      </c>
      <c r="G33" s="182" t="s">
        <v>13177</v>
      </c>
      <c r="H33" s="183">
        <v>0</v>
      </c>
      <c r="I33" s="184" t="s">
        <v>15308</v>
      </c>
      <c r="J33" s="184" t="s">
        <v>1748</v>
      </c>
      <c r="K33" s="224"/>
      <c r="L33" s="224"/>
      <c r="M33" s="224"/>
      <c r="N33" s="224"/>
      <c r="O33" s="224"/>
      <c r="P33" s="185"/>
      <c r="Q33" s="225"/>
      <c r="R33" s="182" t="s">
        <v>15306</v>
      </c>
      <c r="S33" s="181" t="s">
        <v>12503</v>
      </c>
      <c r="T33" s="181" t="s">
        <v>6012</v>
      </c>
      <c r="U33" s="201"/>
      <c r="V33" s="226">
        <v>501</v>
      </c>
      <c r="X33" s="227">
        <v>0</v>
      </c>
      <c r="AB33" s="228" t="s">
        <v>15818</v>
      </c>
    </row>
    <row r="34" spans="1:28" s="227" customFormat="1" ht="27" customHeight="1">
      <c r="A34" s="181"/>
      <c r="B34" s="182" t="s">
        <v>1099</v>
      </c>
      <c r="C34" s="186" t="s">
        <v>610</v>
      </c>
      <c r="D34" s="230"/>
      <c r="E34" s="182" t="s">
        <v>1074</v>
      </c>
      <c r="F34" s="182" t="s">
        <v>759</v>
      </c>
      <c r="G34" s="182" t="s">
        <v>13177</v>
      </c>
      <c r="H34" s="183">
        <v>0</v>
      </c>
      <c r="I34" s="184" t="s">
        <v>1726</v>
      </c>
      <c r="J34" s="184" t="s">
        <v>12799</v>
      </c>
      <c r="K34" s="224"/>
      <c r="L34" s="224"/>
      <c r="M34" s="224"/>
      <c r="N34" s="224"/>
      <c r="O34" s="224"/>
      <c r="P34" s="185"/>
      <c r="Q34" s="225"/>
      <c r="R34" s="182" t="s">
        <v>610</v>
      </c>
      <c r="S34" s="181" t="s">
        <v>12503</v>
      </c>
      <c r="T34" s="181" t="s">
        <v>6001</v>
      </c>
      <c r="U34" s="201"/>
      <c r="V34" s="226">
        <v>502</v>
      </c>
      <c r="X34" s="227">
        <v>0</v>
      </c>
      <c r="AB34" s="228" t="s">
        <v>15819</v>
      </c>
    </row>
    <row r="35" spans="1:28" s="227" customFormat="1" ht="28.5" customHeight="1">
      <c r="A35" s="181"/>
      <c r="B35" s="182" t="s">
        <v>1099</v>
      </c>
      <c r="C35" s="186" t="s">
        <v>13713</v>
      </c>
      <c r="D35" s="230"/>
      <c r="E35" s="182" t="s">
        <v>1074</v>
      </c>
      <c r="F35" s="182" t="s">
        <v>760</v>
      </c>
      <c r="G35" s="182" t="s">
        <v>13177</v>
      </c>
      <c r="H35" s="183">
        <v>0</v>
      </c>
      <c r="I35" s="184" t="s">
        <v>1751</v>
      </c>
      <c r="J35" s="184" t="s">
        <v>12799</v>
      </c>
      <c r="K35" s="224"/>
      <c r="L35" s="224"/>
      <c r="M35" s="224"/>
      <c r="N35" s="224"/>
      <c r="O35" s="224"/>
      <c r="P35" s="185"/>
      <c r="Q35" s="225"/>
      <c r="R35" s="182" t="s">
        <v>13713</v>
      </c>
      <c r="S35" s="181" t="s">
        <v>12503</v>
      </c>
      <c r="T35" s="181" t="s">
        <v>6001</v>
      </c>
      <c r="U35" s="201"/>
      <c r="V35" s="226">
        <v>510</v>
      </c>
      <c r="X35" s="227">
        <v>0</v>
      </c>
      <c r="AB35" s="228" t="s">
        <v>15820</v>
      </c>
    </row>
    <row r="36" spans="1:28" s="227" customFormat="1" ht="24.75" customHeight="1">
      <c r="A36" s="181"/>
      <c r="B36" s="182" t="s">
        <v>1099</v>
      </c>
      <c r="C36" s="186" t="s">
        <v>13714</v>
      </c>
      <c r="D36" s="230"/>
      <c r="E36" s="182" t="s">
        <v>1074</v>
      </c>
      <c r="F36" s="182" t="s">
        <v>777</v>
      </c>
      <c r="G36" s="182" t="s">
        <v>13177</v>
      </c>
      <c r="H36" s="183">
        <v>0</v>
      </c>
      <c r="I36" s="184" t="s">
        <v>1749</v>
      </c>
      <c r="J36" s="184" t="s">
        <v>6016</v>
      </c>
      <c r="K36" s="224"/>
      <c r="L36" s="224"/>
      <c r="M36" s="224"/>
      <c r="N36" s="224"/>
      <c r="O36" s="224"/>
      <c r="P36" s="185"/>
      <c r="Q36" s="225"/>
      <c r="R36" s="182" t="s">
        <v>13714</v>
      </c>
      <c r="S36" s="181" t="s">
        <v>12503</v>
      </c>
      <c r="T36" s="181" t="s">
        <v>6015</v>
      </c>
      <c r="U36" s="201"/>
      <c r="V36" s="226">
        <v>509</v>
      </c>
      <c r="X36" s="227">
        <v>0</v>
      </c>
      <c r="AB36" s="228" t="s">
        <v>15821</v>
      </c>
    </row>
    <row r="37" spans="1:28" s="227" customFormat="1" ht="21" customHeight="1">
      <c r="A37" s="181"/>
      <c r="B37" s="182" t="s">
        <v>1099</v>
      </c>
      <c r="C37" s="186" t="s">
        <v>1367</v>
      </c>
      <c r="D37" s="230"/>
      <c r="E37" s="182" t="s">
        <v>1074</v>
      </c>
      <c r="F37" s="182" t="s">
        <v>1368</v>
      </c>
      <c r="G37" s="182" t="s">
        <v>13177</v>
      </c>
      <c r="H37" s="183">
        <v>0</v>
      </c>
      <c r="I37" s="184" t="s">
        <v>1726</v>
      </c>
      <c r="J37" s="184" t="s">
        <v>12799</v>
      </c>
      <c r="K37" s="224"/>
      <c r="L37" s="224"/>
      <c r="M37" s="224"/>
      <c r="N37" s="224"/>
      <c r="O37" s="224"/>
      <c r="P37" s="185"/>
      <c r="Q37" s="225"/>
      <c r="R37" s="182" t="s">
        <v>1367</v>
      </c>
      <c r="S37" s="181" t="s">
        <v>12503</v>
      </c>
      <c r="T37" s="181" t="s">
        <v>6001</v>
      </c>
      <c r="U37" s="201"/>
      <c r="V37" s="226">
        <v>499</v>
      </c>
      <c r="X37" s="227">
        <v>0</v>
      </c>
      <c r="AB37" s="228" t="s">
        <v>15822</v>
      </c>
    </row>
    <row r="38" spans="1:28" s="227" customFormat="1" ht="31.5" customHeight="1">
      <c r="A38" s="181"/>
      <c r="B38" s="182" t="s">
        <v>1099</v>
      </c>
      <c r="C38" s="186" t="s">
        <v>13761</v>
      </c>
      <c r="D38" s="230"/>
      <c r="E38" s="182" t="s">
        <v>1074</v>
      </c>
      <c r="F38" s="182" t="s">
        <v>13775</v>
      </c>
      <c r="G38" s="182" t="s">
        <v>13177</v>
      </c>
      <c r="H38" s="183">
        <v>0</v>
      </c>
      <c r="I38" s="184" t="s">
        <v>14989</v>
      </c>
      <c r="J38" s="184" t="s">
        <v>12799</v>
      </c>
      <c r="K38" s="224"/>
      <c r="L38" s="224"/>
      <c r="M38" s="224"/>
      <c r="N38" s="224"/>
      <c r="O38" s="224"/>
      <c r="P38" s="185"/>
      <c r="Q38" s="225"/>
      <c r="R38" s="182" t="s">
        <v>13761</v>
      </c>
      <c r="S38" s="181" t="s">
        <v>12503</v>
      </c>
      <c r="T38" s="181" t="s">
        <v>6001</v>
      </c>
      <c r="U38" s="201"/>
      <c r="V38" s="226">
        <v>503</v>
      </c>
      <c r="X38" s="227">
        <v>0</v>
      </c>
      <c r="AB38" s="228" t="s">
        <v>15823</v>
      </c>
    </row>
    <row r="39" spans="1:28" s="227" customFormat="1" ht="33" customHeight="1">
      <c r="A39" s="181"/>
      <c r="B39" s="182" t="s">
        <v>1099</v>
      </c>
      <c r="C39" s="186" t="s">
        <v>15344</v>
      </c>
      <c r="D39" s="230"/>
      <c r="E39" s="182" t="s">
        <v>1074</v>
      </c>
      <c r="F39" s="182" t="s">
        <v>15345</v>
      </c>
      <c r="G39" s="182" t="s">
        <v>13177</v>
      </c>
      <c r="H39" s="183">
        <v>0</v>
      </c>
      <c r="I39" s="184" t="s">
        <v>15351</v>
      </c>
      <c r="J39" s="184" t="s">
        <v>12799</v>
      </c>
      <c r="K39" s="224"/>
      <c r="L39" s="224"/>
      <c r="M39" s="224"/>
      <c r="N39" s="224"/>
      <c r="O39" s="224"/>
      <c r="P39" s="185"/>
      <c r="Q39" s="225"/>
      <c r="R39" s="182" t="s">
        <v>15344</v>
      </c>
      <c r="S39" s="181" t="s">
        <v>12503</v>
      </c>
      <c r="T39" s="181" t="s">
        <v>6001</v>
      </c>
      <c r="U39" s="201"/>
      <c r="V39" s="226">
        <v>504</v>
      </c>
      <c r="X39" s="227">
        <v>0</v>
      </c>
      <c r="AB39" s="228" t="s">
        <v>15824</v>
      </c>
    </row>
    <row r="40" spans="1:28" s="227" customFormat="1" ht="33.75" customHeight="1">
      <c r="A40" s="181"/>
      <c r="B40" s="182" t="s">
        <v>1099</v>
      </c>
      <c r="C40" s="186" t="s">
        <v>15309</v>
      </c>
      <c r="D40" s="230"/>
      <c r="E40" s="182" t="s">
        <v>1074</v>
      </c>
      <c r="F40" s="182" t="s">
        <v>15310</v>
      </c>
      <c r="G40" s="182" t="s">
        <v>13177</v>
      </c>
      <c r="H40" s="183">
        <v>0</v>
      </c>
      <c r="I40" s="184" t="s">
        <v>1726</v>
      </c>
      <c r="J40" s="184" t="s">
        <v>12799</v>
      </c>
      <c r="K40" s="224"/>
      <c r="L40" s="224"/>
      <c r="M40" s="224"/>
      <c r="N40" s="224"/>
      <c r="O40" s="224"/>
      <c r="P40" s="185"/>
      <c r="Q40" s="225"/>
      <c r="R40" s="182" t="s">
        <v>15309</v>
      </c>
      <c r="S40" s="181" t="s">
        <v>12503</v>
      </c>
      <c r="T40" s="181" t="s">
        <v>6001</v>
      </c>
      <c r="U40" s="201"/>
      <c r="V40" s="226">
        <v>506</v>
      </c>
      <c r="X40" s="227">
        <v>0</v>
      </c>
      <c r="AB40" s="228" t="s">
        <v>15825</v>
      </c>
    </row>
    <row r="41" spans="1:28" s="227" customFormat="1" ht="34.5" customHeight="1">
      <c r="A41" s="181"/>
      <c r="B41" s="182" t="s">
        <v>1099</v>
      </c>
      <c r="C41" s="186" t="s">
        <v>15349</v>
      </c>
      <c r="D41" s="230"/>
      <c r="E41" s="182" t="s">
        <v>1074</v>
      </c>
      <c r="F41" s="182" t="s">
        <v>15350</v>
      </c>
      <c r="G41" s="182" t="s">
        <v>13177</v>
      </c>
      <c r="H41" s="183">
        <v>0</v>
      </c>
      <c r="I41" s="184" t="s">
        <v>15353</v>
      </c>
      <c r="J41" s="184" t="s">
        <v>12799</v>
      </c>
      <c r="K41" s="224"/>
      <c r="L41" s="224"/>
      <c r="M41" s="224"/>
      <c r="N41" s="224"/>
      <c r="O41" s="224"/>
      <c r="P41" s="185"/>
      <c r="Q41" s="225"/>
      <c r="R41" s="182" t="s">
        <v>15349</v>
      </c>
      <c r="S41" s="181" t="s">
        <v>12503</v>
      </c>
      <c r="T41" s="181" t="s">
        <v>6001</v>
      </c>
      <c r="U41" s="201"/>
      <c r="V41" s="226">
        <v>500</v>
      </c>
      <c r="X41" s="227">
        <v>0</v>
      </c>
      <c r="AB41" s="228" t="s">
        <v>15826</v>
      </c>
    </row>
    <row r="42" spans="1:28" s="227" customFormat="1" ht="29.25" customHeight="1">
      <c r="A42" s="181"/>
      <c r="B42" s="182" t="s">
        <v>1099</v>
      </c>
      <c r="C42" s="186" t="s">
        <v>15624</v>
      </c>
      <c r="D42" s="230"/>
      <c r="E42" s="182" t="s">
        <v>1074</v>
      </c>
      <c r="F42" s="182" t="s">
        <v>15625</v>
      </c>
      <c r="G42" s="182" t="s">
        <v>13177</v>
      </c>
      <c r="H42" s="183">
        <v>0</v>
      </c>
      <c r="I42" s="184" t="s">
        <v>14986</v>
      </c>
      <c r="J42" s="184" t="s">
        <v>12799</v>
      </c>
      <c r="K42" s="224"/>
      <c r="L42" s="224"/>
      <c r="M42" s="224"/>
      <c r="N42" s="224"/>
      <c r="O42" s="224"/>
      <c r="P42" s="185"/>
      <c r="Q42" s="225"/>
      <c r="R42" s="182" t="s">
        <v>15624</v>
      </c>
      <c r="S42" s="181" t="s">
        <v>12503</v>
      </c>
      <c r="T42" s="181" t="s">
        <v>6001</v>
      </c>
      <c r="U42" s="201"/>
      <c r="V42" s="226">
        <v>507</v>
      </c>
      <c r="X42" s="227">
        <v>0</v>
      </c>
      <c r="AB42" s="228" t="s">
        <v>15827</v>
      </c>
    </row>
    <row r="43" spans="1:28" s="227" customFormat="1" ht="31.5" customHeight="1">
      <c r="A43" s="181"/>
      <c r="B43" s="182" t="s">
        <v>1099</v>
      </c>
      <c r="C43" s="186" t="s">
        <v>15713</v>
      </c>
      <c r="D43" s="230"/>
      <c r="E43" s="182" t="s">
        <v>1074</v>
      </c>
      <c r="F43" s="182" t="s">
        <v>15714</v>
      </c>
      <c r="G43" s="182" t="s">
        <v>13177</v>
      </c>
      <c r="H43" s="183">
        <v>0</v>
      </c>
      <c r="I43" s="184" t="s">
        <v>14986</v>
      </c>
      <c r="J43" s="184" t="s">
        <v>12799</v>
      </c>
      <c r="K43" s="224"/>
      <c r="L43" s="224"/>
      <c r="M43" s="224"/>
      <c r="N43" s="224"/>
      <c r="O43" s="224"/>
      <c r="P43" s="185"/>
      <c r="Q43" s="225"/>
      <c r="R43" s="182" t="s">
        <v>15713</v>
      </c>
      <c r="S43" s="181" t="s">
        <v>12503</v>
      </c>
      <c r="T43" s="181" t="s">
        <v>6001</v>
      </c>
      <c r="U43" s="201"/>
      <c r="V43" s="226">
        <v>505</v>
      </c>
      <c r="X43" s="227">
        <v>0</v>
      </c>
      <c r="AB43" s="228" t="s">
        <v>15828</v>
      </c>
    </row>
    <row r="44" spans="1:28" s="227" customFormat="1" ht="20.25">
      <c r="A44" s="181"/>
      <c r="B44" s="182" t="s">
        <v>1099</v>
      </c>
      <c r="C44" s="186" t="s">
        <v>15342</v>
      </c>
      <c r="D44" s="230"/>
      <c r="E44" s="182" t="s">
        <v>1071</v>
      </c>
      <c r="F44" s="182" t="s">
        <v>1774</v>
      </c>
      <c r="G44" s="182" t="s">
        <v>13177</v>
      </c>
      <c r="H44" s="183"/>
      <c r="I44" s="184" t="s">
        <v>1775</v>
      </c>
      <c r="J44" s="184" t="s">
        <v>12359</v>
      </c>
      <c r="K44" s="224"/>
      <c r="L44" s="224"/>
      <c r="M44" s="224"/>
      <c r="N44" s="224"/>
      <c r="O44" s="224"/>
      <c r="P44" s="185"/>
      <c r="Q44" s="225"/>
      <c r="R44" s="182"/>
      <c r="S44" s="181"/>
      <c r="T44" s="181"/>
      <c r="U44" s="201"/>
      <c r="V44" s="226"/>
      <c r="AB44" s="228"/>
    </row>
    <row r="45" spans="1:28" s="227" customFormat="1" ht="25.5">
      <c r="A45" s="181"/>
      <c r="B45" s="182" t="s">
        <v>1098</v>
      </c>
      <c r="C45" s="186" t="s">
        <v>2269</v>
      </c>
      <c r="D45" s="230"/>
      <c r="E45" s="182" t="s">
        <v>13409</v>
      </c>
      <c r="F45" s="182" t="s">
        <v>2270</v>
      </c>
      <c r="G45" s="182" t="s">
        <v>13177</v>
      </c>
      <c r="H45" s="183">
        <v>0</v>
      </c>
      <c r="I45" s="184" t="s">
        <v>2271</v>
      </c>
      <c r="J45" s="184" t="s">
        <v>4102</v>
      </c>
      <c r="K45" s="224"/>
      <c r="L45" s="224"/>
      <c r="M45" s="224"/>
      <c r="N45" s="224"/>
      <c r="O45" s="224"/>
      <c r="P45" s="185"/>
      <c r="Q45" s="225"/>
      <c r="R45" s="182" t="s">
        <v>2269</v>
      </c>
      <c r="S45" s="181" t="str">
        <f t="shared" ref="S45:S73" ca="1" si="5">IF(B45="","",IF(ISERROR(MATCH($E45,CL,0)),"Unknown",INDIRECT("'C'!$A$"&amp;MATCH($E45,CL,0)+1)))</f>
        <v>CZ</v>
      </c>
      <c r="T45" s="181" t="str">
        <f ca="1">IF(B45="","",IF(ISERROR(MATCH($J45,[3]SorP!$B$1:$B$6226,0)),"",INDIRECT("'SorP'!$A$"&amp;MATCH($S45&amp;$J45,[3]SorP!C:C,0))))</f>
        <v>CZ-20A</v>
      </c>
      <c r="U45" s="201"/>
      <c r="V45" s="226">
        <f>IF(C45="",NA(),IF(OR(C45="Smelter not listed",C45="Smelter not yet identified"),MATCH($B45&amp;$D45,'[3]Smelter Look-up'!$J:$J,0),MATCH($B45&amp;$C45,'[3]Smelter Look-up'!$J:$J,0)))</f>
        <v>233</v>
      </c>
      <c r="X45" s="227">
        <f t="shared" ref="X45:X80" si="6">IF(AND(C45="Smelter not listed",OR(LEN(D45)=0,LEN(E45)=0)),1,0)</f>
        <v>0</v>
      </c>
      <c r="AB45" s="228" t="str">
        <f t="shared" ref="AB45:AB80" si="7">B45&amp;C45</f>
        <v>GoldSAFINA A.S.</v>
      </c>
    </row>
    <row r="46" spans="1:28" s="227" customFormat="1" ht="63.75">
      <c r="A46" s="181"/>
      <c r="B46" s="182" t="s">
        <v>1098</v>
      </c>
      <c r="C46" s="186" t="s">
        <v>2155</v>
      </c>
      <c r="D46" s="230"/>
      <c r="E46" s="182" t="s">
        <v>1070</v>
      </c>
      <c r="F46" s="182" t="s">
        <v>2157</v>
      </c>
      <c r="G46" s="182" t="s">
        <v>13177</v>
      </c>
      <c r="H46" s="183">
        <v>0</v>
      </c>
      <c r="I46" s="184" t="s">
        <v>1510</v>
      </c>
      <c r="J46" s="184" t="s">
        <v>1511</v>
      </c>
      <c r="K46" s="224"/>
      <c r="L46" s="224"/>
      <c r="M46" s="224"/>
      <c r="N46" s="224"/>
      <c r="O46" s="224"/>
      <c r="P46" s="185"/>
      <c r="Q46" s="225"/>
      <c r="R46" s="182" t="s">
        <v>2155</v>
      </c>
      <c r="S46" s="181" t="str">
        <f t="shared" ca="1" si="5"/>
        <v>DE</v>
      </c>
      <c r="T46" s="181" t="str">
        <f ca="1">IF(B46="","",IF(ISERROR(MATCH($J46,[3]SorP!$B$1:$B$6226,0)),"",INDIRECT("'SorP'!$A$"&amp;MATCH($S46&amp;$J46,[3]SorP!C:C,0))))</f>
        <v>DE-BW</v>
      </c>
      <c r="U46" s="201"/>
      <c r="V46" s="226">
        <f>IF(C46="",NA(),IF(OR(C46="Smelter not listed",C46="Smelter not yet identified"),MATCH($B46&amp;$D46,'[3]Smelter Look-up'!$J:$J,0),MATCH($B46&amp;$C46,'[3]Smelter Look-up'!$J:$J,0)))</f>
        <v>307</v>
      </c>
      <c r="X46" s="227">
        <f t="shared" si="6"/>
        <v>0</v>
      </c>
      <c r="AB46" s="228" t="str">
        <f t="shared" si="7"/>
        <v>GoldWIELAND Edelmetalle GmbH</v>
      </c>
    </row>
    <row r="47" spans="1:28" s="227" customFormat="1" ht="38.25">
      <c r="A47" s="181"/>
      <c r="B47" s="182" t="s">
        <v>1098</v>
      </c>
      <c r="C47" s="186" t="s">
        <v>524</v>
      </c>
      <c r="D47" s="230"/>
      <c r="E47" s="182" t="s">
        <v>1077</v>
      </c>
      <c r="F47" s="182" t="s">
        <v>650</v>
      </c>
      <c r="G47" s="182" t="s">
        <v>13177</v>
      </c>
      <c r="H47" s="183">
        <v>0</v>
      </c>
      <c r="I47" s="184" t="s">
        <v>1537</v>
      </c>
      <c r="J47" s="184" t="s">
        <v>1509</v>
      </c>
      <c r="K47" s="224"/>
      <c r="L47" s="224"/>
      <c r="M47" s="224"/>
      <c r="N47" s="224"/>
      <c r="O47" s="224"/>
      <c r="P47" s="185"/>
      <c r="Q47" s="225"/>
      <c r="R47" s="182" t="s">
        <v>524</v>
      </c>
      <c r="S47" s="181" t="str">
        <f t="shared" ca="1" si="5"/>
        <v>JP</v>
      </c>
      <c r="T47" s="181" t="str">
        <f ca="1">IF(B47="","",IF(ISERROR(MATCH($J47,[3]SorP!$B$1:$B$6226,0)),"",INDIRECT("'SorP'!$A$"&amp;MATCH($S47&amp;$J47,[3]SorP!C:C,0))))</f>
        <v>JP-13</v>
      </c>
      <c r="U47" s="201"/>
      <c r="V47" s="226">
        <f>IF(C47="",NA(),IF(OR(C47="Smelter not listed",C47="Smelter not yet identified"),MATCH($B47&amp;$D47,'[3]Smelter Look-up'!$J:$J,0),MATCH($B47&amp;$C47,'[3]Smelter Look-up'!$J:$J,0)))</f>
        <v>59</v>
      </c>
      <c r="X47" s="227">
        <f t="shared" si="6"/>
        <v>0</v>
      </c>
      <c r="AB47" s="228" t="str">
        <f t="shared" si="7"/>
        <v>GoldChugai Mining</v>
      </c>
    </row>
    <row r="48" spans="1:28" s="227" customFormat="1" ht="51">
      <c r="A48" s="181"/>
      <c r="B48" s="182" t="s">
        <v>1098</v>
      </c>
      <c r="C48" s="186" t="s">
        <v>2096</v>
      </c>
      <c r="D48" s="230"/>
      <c r="E48" s="182" t="s">
        <v>1077</v>
      </c>
      <c r="F48" s="182" t="s">
        <v>639</v>
      </c>
      <c r="G48" s="182" t="s">
        <v>13177</v>
      </c>
      <c r="H48" s="183">
        <v>0</v>
      </c>
      <c r="I48" s="184" t="s">
        <v>1520</v>
      </c>
      <c r="J48" s="184" t="s">
        <v>1521</v>
      </c>
      <c r="K48" s="224"/>
      <c r="L48" s="224"/>
      <c r="M48" s="224"/>
      <c r="N48" s="224"/>
      <c r="O48" s="224"/>
      <c r="P48" s="185"/>
      <c r="Q48" s="225"/>
      <c r="R48" s="182" t="s">
        <v>2096</v>
      </c>
      <c r="S48" s="181" t="str">
        <f t="shared" ca="1" si="5"/>
        <v>JP</v>
      </c>
      <c r="T48" s="181" t="str">
        <f ca="1">IF(B48="","",IF(ISERROR(MATCH($J48,[3]SorP!$B$1:$B$6226,0)),"",INDIRECT("'SorP'!$A$"&amp;MATCH($S48&amp;$J48,[3]SorP!C:C,0))))</f>
        <v>JP-07</v>
      </c>
      <c r="U48" s="201"/>
      <c r="V48" s="226">
        <f>IF(C48="",NA(),IF(OR(C48="Smelter not listed",C48="Smelter not yet identified"),MATCH($B48&amp;$D48,'[3]Smelter Look-up'!$J:$J,0),MATCH($B48&amp;$C48,'[3]Smelter Look-up'!$J:$J,0)))</f>
        <v>33</v>
      </c>
      <c r="X48" s="227">
        <f t="shared" si="6"/>
        <v>0</v>
      </c>
      <c r="AB48" s="228" t="str">
        <f t="shared" si="7"/>
        <v>GoldAsaka Riken Co., Ltd.</v>
      </c>
    </row>
    <row r="49" spans="1:28" s="227" customFormat="1" ht="76.5">
      <c r="A49" s="181"/>
      <c r="B49" s="182" t="s">
        <v>1098</v>
      </c>
      <c r="C49" s="186" t="s">
        <v>2095</v>
      </c>
      <c r="D49" s="230"/>
      <c r="E49" s="182" t="s">
        <v>1077</v>
      </c>
      <c r="F49" s="182" t="s">
        <v>633</v>
      </c>
      <c r="G49" s="182" t="s">
        <v>13177</v>
      </c>
      <c r="H49" s="183">
        <v>0</v>
      </c>
      <c r="I49" s="184" t="s">
        <v>1508</v>
      </c>
      <c r="J49" s="184" t="s">
        <v>1509</v>
      </c>
      <c r="K49" s="224"/>
      <c r="L49" s="224"/>
      <c r="M49" s="224"/>
      <c r="N49" s="224"/>
      <c r="O49" s="224"/>
      <c r="P49" s="185"/>
      <c r="Q49" s="225"/>
      <c r="R49" s="182" t="s">
        <v>2095</v>
      </c>
      <c r="S49" s="181" t="str">
        <f t="shared" ca="1" si="5"/>
        <v>JP</v>
      </c>
      <c r="T49" s="181" t="str">
        <f ca="1">IF(B49="","",IF(ISERROR(MATCH($J49,[3]SorP!$B$1:$B$6226,0)),"",INDIRECT("'SorP'!$A$"&amp;MATCH($S49&amp;$J49,[3]SorP!C:C,0))))</f>
        <v>JP-13</v>
      </c>
      <c r="U49" s="201"/>
      <c r="V49" s="226">
        <f>IF(C49="",NA(),IF(OR(C49="Smelter not listed",C49="Smelter not yet identified"),MATCH($B49&amp;$D49,'[3]Smelter Look-up'!$J:$J,0),MATCH($B49&amp;$C49,'[3]Smelter Look-up'!$J:$J,0)))</f>
        <v>13</v>
      </c>
      <c r="X49" s="227">
        <f t="shared" si="6"/>
        <v>0</v>
      </c>
      <c r="AB49" s="228" t="str">
        <f t="shared" si="7"/>
        <v>GoldAida Chemical Industries Co., Ltd.</v>
      </c>
    </row>
    <row r="50" spans="1:28" s="227" customFormat="1" ht="25.5">
      <c r="A50" s="181"/>
      <c r="B50" s="182" t="s">
        <v>1098</v>
      </c>
      <c r="C50" s="186" t="s">
        <v>877</v>
      </c>
      <c r="D50" s="230"/>
      <c r="E50" s="182" t="s">
        <v>1077</v>
      </c>
      <c r="F50" s="182" t="s">
        <v>654</v>
      </c>
      <c r="G50" s="182" t="s">
        <v>13177</v>
      </c>
      <c r="H50" s="183">
        <v>0</v>
      </c>
      <c r="I50" s="184" t="s">
        <v>1541</v>
      </c>
      <c r="J50" s="184" t="s">
        <v>1542</v>
      </c>
      <c r="K50" s="224"/>
      <c r="L50" s="224"/>
      <c r="M50" s="224"/>
      <c r="N50" s="224"/>
      <c r="O50" s="224"/>
      <c r="P50" s="185"/>
      <c r="Q50" s="225"/>
      <c r="R50" s="182" t="s">
        <v>877</v>
      </c>
      <c r="S50" s="181" t="str">
        <f t="shared" ca="1" si="5"/>
        <v>JP</v>
      </c>
      <c r="T50" s="181" t="str">
        <f ca="1">IF(B50="","",IF(ISERROR(MATCH($J50,[3]SorP!$B$1:$B$6226,0)),"",INDIRECT("'SorP'!$A$"&amp;MATCH($S50&amp;$J50,[3]SorP!C:C,0))))</f>
        <v>JP-05</v>
      </c>
      <c r="U50" s="201"/>
      <c r="V50" s="226">
        <f>IF(C50="",NA(),IF(OR(C50="Smelter not listed",C50="Smelter not yet identified"),MATCH($B50&amp;$D50,'[3]Smelter Look-up'!$J:$J,0),MATCH($B50&amp;$C50,'[3]Smelter Look-up'!$J:$J,0)))</f>
        <v>68</v>
      </c>
      <c r="X50" s="227">
        <f t="shared" si="6"/>
        <v>0</v>
      </c>
      <c r="AB50" s="228" t="str">
        <f t="shared" si="7"/>
        <v>GoldDowa</v>
      </c>
    </row>
    <row r="51" spans="1:28" s="227" customFormat="1" ht="89.25">
      <c r="A51" s="181"/>
      <c r="B51" s="182" t="s">
        <v>1098</v>
      </c>
      <c r="C51" s="186" t="s">
        <v>13747</v>
      </c>
      <c r="D51" s="230"/>
      <c r="E51" s="182" t="s">
        <v>1077</v>
      </c>
      <c r="F51" s="182" t="s">
        <v>384</v>
      </c>
      <c r="G51" s="182" t="s">
        <v>13177</v>
      </c>
      <c r="H51" s="183">
        <v>0</v>
      </c>
      <c r="I51" s="184" t="s">
        <v>1546</v>
      </c>
      <c r="J51" s="184" t="s">
        <v>1547</v>
      </c>
      <c r="K51" s="224"/>
      <c r="L51" s="224"/>
      <c r="M51" s="224"/>
      <c r="N51" s="224"/>
      <c r="O51" s="224"/>
      <c r="P51" s="185"/>
      <c r="Q51" s="225"/>
      <c r="R51" s="182" t="s">
        <v>13747</v>
      </c>
      <c r="S51" s="181" t="str">
        <f t="shared" ca="1" si="5"/>
        <v>JP</v>
      </c>
      <c r="T51" s="181" t="str">
        <f ca="1">IF(B51="","",IF(ISERROR(MATCH($J51,[3]SorP!$B$1:$B$6226,0)),"",INDIRECT("'SorP'!$A$"&amp;MATCH($S51&amp;$J51,[3]SorP!C:C,0))))</f>
        <v>JP-11</v>
      </c>
      <c r="U51" s="201"/>
      <c r="V51" s="226">
        <f>IF(C51="",NA(),IF(OR(C51="Smelter not listed",C51="Smelter not yet identified"),MATCH($B51&amp;$D51,'[3]Smelter Look-up'!$J:$J,0),MATCH($B51&amp;$C51,'[3]Smelter Look-up'!$J:$J,0)))</f>
        <v>73</v>
      </c>
      <c r="X51" s="227">
        <f t="shared" si="6"/>
        <v>0</v>
      </c>
      <c r="AB51" s="228" t="str">
        <f t="shared" si="7"/>
        <v>GoldEco-System Recycling Co., Ltd. East Plant</v>
      </c>
    </row>
    <row r="52" spans="1:28" s="227" customFormat="1" ht="89.25">
      <c r="A52" s="181"/>
      <c r="B52" s="182" t="s">
        <v>1098</v>
      </c>
      <c r="C52" s="186" t="s">
        <v>1196</v>
      </c>
      <c r="D52" s="230"/>
      <c r="E52" s="182" t="s">
        <v>1077</v>
      </c>
      <c r="F52" s="182" t="s">
        <v>692</v>
      </c>
      <c r="G52" s="182" t="s">
        <v>13177</v>
      </c>
      <c r="H52" s="183">
        <v>0</v>
      </c>
      <c r="I52" s="184" t="s">
        <v>1594</v>
      </c>
      <c r="J52" s="184" t="s">
        <v>1593</v>
      </c>
      <c r="K52" s="224"/>
      <c r="L52" s="224"/>
      <c r="M52" s="224"/>
      <c r="N52" s="224"/>
      <c r="O52" s="224"/>
      <c r="P52" s="185"/>
      <c r="Q52" s="225"/>
      <c r="R52" s="182" t="s">
        <v>1196</v>
      </c>
      <c r="S52" s="181" t="str">
        <f t="shared" ca="1" si="5"/>
        <v>JP</v>
      </c>
      <c r="T52" s="181" t="str">
        <f ca="1">IF(B52="","",IF(ISERROR(MATCH($J52,[3]SorP!$B$1:$B$6226,0)),"",INDIRECT("'SorP'!$A$"&amp;MATCH($S52&amp;$J52,[3]SorP!C:C,0))))</f>
        <v>JP-34</v>
      </c>
      <c r="U52" s="201"/>
      <c r="V52" s="226">
        <f>IF(C52="",NA(),IF(OR(C52="Smelter not listed",C52="Smelter not yet identified"),MATCH($B52&amp;$D52,'[3]Smelter Look-up'!$J:$J,0),MATCH($B52&amp;$C52,'[3]Smelter Look-up'!$J:$J,0)))</f>
        <v>191</v>
      </c>
      <c r="X52" s="227">
        <f t="shared" si="6"/>
        <v>0</v>
      </c>
      <c r="AB52" s="228" t="str">
        <f t="shared" si="7"/>
        <v>GoldMitsui Mining and Smelting Co., Ltd.</v>
      </c>
    </row>
    <row r="53" spans="1:28" s="227" customFormat="1" ht="89.25">
      <c r="A53" s="181"/>
      <c r="B53" s="182" t="s">
        <v>1098</v>
      </c>
      <c r="C53" s="186" t="s">
        <v>2110</v>
      </c>
      <c r="D53" s="230"/>
      <c r="E53" s="182" t="s">
        <v>1077</v>
      </c>
      <c r="F53" s="182" t="s">
        <v>697</v>
      </c>
      <c r="G53" s="182" t="s">
        <v>13177</v>
      </c>
      <c r="H53" s="183">
        <v>0</v>
      </c>
      <c r="I53" s="184" t="s">
        <v>1602</v>
      </c>
      <c r="J53" s="184" t="s">
        <v>1603</v>
      </c>
      <c r="K53" s="224"/>
      <c r="L53" s="224"/>
      <c r="M53" s="224"/>
      <c r="N53" s="224"/>
      <c r="O53" s="224"/>
      <c r="P53" s="185"/>
      <c r="Q53" s="225"/>
      <c r="R53" s="182" t="s">
        <v>2110</v>
      </c>
      <c r="S53" s="181" t="str">
        <f t="shared" ca="1" si="5"/>
        <v>JP</v>
      </c>
      <c r="T53" s="181" t="str">
        <f ca="1">IF(B53="","",IF(ISERROR(MATCH($J53,[3]SorP!$B$1:$B$6226,0)),"",INDIRECT("'SorP'!$A$"&amp;MATCH($S53&amp;$J53,[3]SorP!C:C,0))))</f>
        <v>JP-29</v>
      </c>
      <c r="U53" s="201"/>
      <c r="V53" s="226">
        <f>IF(C53="",NA(),IF(OR(C53="Smelter not listed",C53="Smelter not yet identified"),MATCH($B53&amp;$D53,'[3]Smelter Look-up'!$J:$J,0),MATCH($B53&amp;$C53,'[3]Smelter Look-up'!$J:$J,0)))</f>
        <v>207</v>
      </c>
      <c r="X53" s="227">
        <f t="shared" si="6"/>
        <v>0</v>
      </c>
      <c r="AB53" s="228" t="str">
        <f t="shared" si="7"/>
        <v>GoldOhura Precious Metal Industry Co., Ltd.</v>
      </c>
    </row>
    <row r="54" spans="1:28" s="227" customFormat="1" ht="63.75">
      <c r="A54" s="181"/>
      <c r="B54" s="182" t="s">
        <v>1098</v>
      </c>
      <c r="C54" s="186" t="s">
        <v>2119</v>
      </c>
      <c r="D54" s="230"/>
      <c r="E54" s="182" t="s">
        <v>1077</v>
      </c>
      <c r="F54" s="182" t="s">
        <v>724</v>
      </c>
      <c r="G54" s="182" t="s">
        <v>13177</v>
      </c>
      <c r="H54" s="183">
        <v>0</v>
      </c>
      <c r="I54" s="184" t="s">
        <v>1651</v>
      </c>
      <c r="J54" s="184" t="s">
        <v>1630</v>
      </c>
      <c r="K54" s="224"/>
      <c r="L54" s="224"/>
      <c r="M54" s="224"/>
      <c r="N54" s="224"/>
      <c r="O54" s="224"/>
      <c r="P54" s="185"/>
      <c r="Q54" s="225"/>
      <c r="R54" s="182" t="s">
        <v>2119</v>
      </c>
      <c r="S54" s="181" t="str">
        <f t="shared" ca="1" si="5"/>
        <v>JP</v>
      </c>
      <c r="T54" s="181" t="str">
        <f ca="1">IF(B54="","",IF(ISERROR(MATCH($J54,[3]SorP!$B$1:$B$6226,0)),"",INDIRECT("'SorP'!$A$"&amp;MATCH($S54&amp;$J54,[3]SorP!C:C,0))))</f>
        <v>JP-14</v>
      </c>
      <c r="U54" s="201"/>
      <c r="V54" s="226">
        <f>IF(C54="",NA(),IF(OR(C54="Smelter not listed",C54="Smelter not yet identified"),MATCH($B54&amp;$D54,'[3]Smelter Look-up'!$J:$J,0),MATCH($B54&amp;$C54,'[3]Smelter Look-up'!$J:$J,0)))</f>
        <v>316</v>
      </c>
      <c r="X54" s="227">
        <f t="shared" si="6"/>
        <v>0</v>
      </c>
      <c r="AB54" s="228" t="str">
        <f t="shared" si="7"/>
        <v>GoldYokohama Metal Co., Ltd.</v>
      </c>
    </row>
    <row r="55" spans="1:28" s="227" customFormat="1" ht="51">
      <c r="A55" s="181"/>
      <c r="B55" s="182" t="s">
        <v>1098</v>
      </c>
      <c r="C55" s="186" t="s">
        <v>12873</v>
      </c>
      <c r="D55" s="230"/>
      <c r="E55" s="182" t="s">
        <v>1077</v>
      </c>
      <c r="F55" s="182" t="s">
        <v>723</v>
      </c>
      <c r="G55" s="182" t="s">
        <v>13177</v>
      </c>
      <c r="H55" s="183">
        <v>0</v>
      </c>
      <c r="I55" s="184" t="s">
        <v>12886</v>
      </c>
      <c r="J55" s="184" t="s">
        <v>6574</v>
      </c>
      <c r="K55" s="224"/>
      <c r="L55" s="224"/>
      <c r="M55" s="224"/>
      <c r="N55" s="224"/>
      <c r="O55" s="224"/>
      <c r="P55" s="185"/>
      <c r="Q55" s="225"/>
      <c r="R55" s="182" t="s">
        <v>12873</v>
      </c>
      <c r="S55" s="181" t="str">
        <f t="shared" ca="1" si="5"/>
        <v>JP</v>
      </c>
      <c r="T55" s="181" t="str">
        <f ca="1">IF(B55="","",IF(ISERROR(MATCH($J55,[3]SorP!$B$1:$B$6226,0)),"",INDIRECT("'SorP'!$A$"&amp;MATCH($S55&amp;$J55,[3]SorP!C:C,0))))</f>
        <v>JP-39</v>
      </c>
      <c r="U55" s="201"/>
      <c r="V55" s="226">
        <f>IF(C55="",NA(),IF(OR(C55="Smelter not listed",C55="Smelter not yet identified"),MATCH($B55&amp;$D55,'[3]Smelter Look-up'!$J:$J,0),MATCH($B55&amp;$C55,'[3]Smelter Look-up'!$J:$J,0)))</f>
        <v>310</v>
      </c>
      <c r="X55" s="227">
        <f t="shared" si="6"/>
        <v>0</v>
      </c>
      <c r="AB55" s="228" t="str">
        <f t="shared" si="7"/>
        <v>GoldYamakin Co., Ltd.</v>
      </c>
    </row>
    <row r="56" spans="1:28" s="227" customFormat="1" ht="38.25">
      <c r="A56" s="181"/>
      <c r="B56" s="182" t="s">
        <v>1098</v>
      </c>
      <c r="C56" s="186" t="s">
        <v>13752</v>
      </c>
      <c r="D56" s="230"/>
      <c r="E56" s="182" t="s">
        <v>1080</v>
      </c>
      <c r="F56" s="182" t="s">
        <v>2450</v>
      </c>
      <c r="G56" s="182" t="s">
        <v>13177</v>
      </c>
      <c r="H56" s="183">
        <v>0</v>
      </c>
      <c r="I56" s="184" t="s">
        <v>2451</v>
      </c>
      <c r="J56" s="184" t="s">
        <v>12813</v>
      </c>
      <c r="K56" s="224"/>
      <c r="L56" s="224"/>
      <c r="M56" s="224"/>
      <c r="N56" s="224"/>
      <c r="O56" s="224"/>
      <c r="P56" s="185"/>
      <c r="Q56" s="225"/>
      <c r="R56" s="182" t="s">
        <v>13752</v>
      </c>
      <c r="S56" s="181" t="str">
        <f t="shared" ca="1" si="5"/>
        <v>KR</v>
      </c>
      <c r="T56" s="181" t="str">
        <f ca="1">IF(B56="","",IF(ISERROR(MATCH($J56,[3]SorP!$B$1:$B$6226,0)),"",INDIRECT("'SorP'!$A$"&amp;MATCH($S56&amp;$J56,[3]SorP!C:C,0))))</f>
        <v>KR-28</v>
      </c>
      <c r="U56" s="201"/>
      <c r="V56" s="226">
        <f>IF(C56="",NA(),IF(OR(C56="Smelter not listed",C56="Smelter not yet identified"),MATCH($B56&amp;$D56,'[3]Smelter Look-up'!$J:$J,0),MATCH($B56&amp;$C56,'[3]Smelter Look-up'!$J:$J,0)))</f>
        <v>164</v>
      </c>
      <c r="X56" s="227">
        <f t="shared" si="6"/>
        <v>0</v>
      </c>
      <c r="AB56" s="228" t="str">
        <f t="shared" si="7"/>
        <v>GoldLT Metal Ltd.</v>
      </c>
    </row>
    <row r="57" spans="1:28" s="227" customFormat="1" ht="63.75">
      <c r="A57" s="181"/>
      <c r="B57" s="182" t="s">
        <v>1098</v>
      </c>
      <c r="C57" s="186" t="s">
        <v>2208</v>
      </c>
      <c r="D57" s="230"/>
      <c r="E57" s="182" t="s">
        <v>1080</v>
      </c>
      <c r="F57" s="182" t="s">
        <v>653</v>
      </c>
      <c r="G57" s="182" t="s">
        <v>13177</v>
      </c>
      <c r="H57" s="183">
        <v>0</v>
      </c>
      <c r="I57" s="184" t="s">
        <v>1540</v>
      </c>
      <c r="J57" s="184" t="s">
        <v>12818</v>
      </c>
      <c r="K57" s="224"/>
      <c r="L57" s="224"/>
      <c r="M57" s="224"/>
      <c r="N57" s="224"/>
      <c r="O57" s="224"/>
      <c r="P57" s="185"/>
      <c r="Q57" s="225"/>
      <c r="R57" s="182" t="s">
        <v>2208</v>
      </c>
      <c r="S57" s="181" t="str">
        <f t="shared" ca="1" si="5"/>
        <v>KR</v>
      </c>
      <c r="T57" s="181" t="str">
        <f ca="1">IF(B57="","",IF(ISERROR(MATCH($J57,[3]SorP!$B$1:$B$6226,0)),"",INDIRECT("'SorP'!$A$"&amp;MATCH($S57&amp;$J57,[3]SorP!C:C,0))))</f>
        <v>KR-41</v>
      </c>
      <c r="U57" s="201"/>
      <c r="V57" s="226">
        <f>IF(C57="",NA(),IF(OR(C57="Smelter not listed",C57="Smelter not yet identified"),MATCH($B57&amp;$D57,'[3]Smelter Look-up'!$J:$J,0),MATCH($B57&amp;$C57,'[3]Smelter Look-up'!$J:$J,0)))</f>
        <v>72</v>
      </c>
      <c r="X57" s="227">
        <f t="shared" si="6"/>
        <v>0</v>
      </c>
      <c r="AB57" s="228" t="str">
        <f t="shared" si="7"/>
        <v>GoldDSC (Do Sung Corporation)</v>
      </c>
    </row>
    <row r="58" spans="1:28" s="227" customFormat="1" ht="28.5" customHeight="1">
      <c r="A58" s="181"/>
      <c r="B58" s="182" t="s">
        <v>1098</v>
      </c>
      <c r="C58" s="186" t="s">
        <v>13704</v>
      </c>
      <c r="D58" s="230"/>
      <c r="E58" s="182" t="s">
        <v>1085</v>
      </c>
      <c r="F58" s="182" t="s">
        <v>2268</v>
      </c>
      <c r="G58" s="182" t="s">
        <v>13177</v>
      </c>
      <c r="H58" s="183">
        <v>0</v>
      </c>
      <c r="I58" s="184" t="s">
        <v>2301</v>
      </c>
      <c r="J58" s="184" t="s">
        <v>8844</v>
      </c>
      <c r="K58" s="224"/>
      <c r="L58" s="224"/>
      <c r="M58" s="224"/>
      <c r="N58" s="224"/>
      <c r="O58" s="224"/>
      <c r="P58" s="185"/>
      <c r="Q58" s="225"/>
      <c r="R58" s="182" t="s">
        <v>13704</v>
      </c>
      <c r="S58" s="181" t="str">
        <f t="shared" ca="1" si="5"/>
        <v>NL</v>
      </c>
      <c r="T58" s="181" t="str">
        <f ca="1">IF(B58="","",IF(ISERROR(MATCH($J58,[3]SorP!$B$1:$B$6226,0)),"",INDIRECT("'SorP'!$A$"&amp;MATCH($S58&amp;$J58,[3]SorP!C:C,0))))</f>
        <v>NL-NB</v>
      </c>
      <c r="U58" s="201"/>
      <c r="V58" s="226">
        <f>IF(C58="",NA(),IF(OR(C58="Smelter not listed",C58="Smelter not yet identified"),MATCH($B58&amp;$D58,'[3]Smelter Look-up'!$J:$J,0),MATCH($B58&amp;$C58,'[3]Smelter Look-up'!$J:$J,0)))</f>
        <v>228</v>
      </c>
      <c r="X58" s="227">
        <f t="shared" si="6"/>
        <v>0</v>
      </c>
      <c r="AB58" s="228" t="str">
        <f t="shared" si="7"/>
        <v>GoldREMONDIS PMR B.V.</v>
      </c>
    </row>
    <row r="59" spans="1:28" s="227" customFormat="1" ht="76.5">
      <c r="A59" s="181"/>
      <c r="B59" s="182" t="s">
        <v>1098</v>
      </c>
      <c r="C59" s="186" t="s">
        <v>1349</v>
      </c>
      <c r="D59" s="230"/>
      <c r="E59" s="182" t="s">
        <v>2384</v>
      </c>
      <c r="F59" s="182" t="s">
        <v>1350</v>
      </c>
      <c r="G59" s="182" t="s">
        <v>13177</v>
      </c>
      <c r="H59" s="183">
        <v>0</v>
      </c>
      <c r="I59" s="184" t="s">
        <v>1506</v>
      </c>
      <c r="J59" s="184" t="s">
        <v>1507</v>
      </c>
      <c r="K59" s="224"/>
      <c r="L59" s="224"/>
      <c r="M59" s="224"/>
      <c r="N59" s="224"/>
      <c r="O59" s="224"/>
      <c r="P59" s="185"/>
      <c r="Q59" s="225"/>
      <c r="R59" s="182" t="s">
        <v>1349</v>
      </c>
      <c r="S59" s="181" t="str">
        <f t="shared" ca="1" si="5"/>
        <v>US</v>
      </c>
      <c r="T59" s="181" t="str">
        <f ca="1">IF(B59="","",IF(ISERROR(MATCH($J59,[3]SorP!$B$1:$B$6226,0)),"",INDIRECT("'SorP'!$A$"&amp;MATCH($S59&amp;$J59,[3]SorP!C:C,0))))</f>
        <v>US-RI</v>
      </c>
      <c r="U59" s="201"/>
      <c r="V59" s="226">
        <f>IF(C59="",NA(),IF(OR(C59="Smelter not listed",C59="Smelter not yet identified"),MATCH($B59&amp;$D59,'[3]Smelter Look-up'!$J:$J,0),MATCH($B59&amp;$C59,'[3]Smelter Look-up'!$J:$J,0)))</f>
        <v>8</v>
      </c>
      <c r="X59" s="227">
        <f t="shared" si="6"/>
        <v>0</v>
      </c>
      <c r="AB59" s="228" t="str">
        <f t="shared" si="7"/>
        <v>GoldAdvanced Chemical Company</v>
      </c>
    </row>
    <row r="60" spans="1:28" s="227" customFormat="1" ht="25.5">
      <c r="A60" s="181"/>
      <c r="B60" s="182" t="s">
        <v>1098</v>
      </c>
      <c r="C60" s="186" t="s">
        <v>881</v>
      </c>
      <c r="D60" s="230"/>
      <c r="E60" s="182" t="s">
        <v>2384</v>
      </c>
      <c r="F60" s="182" t="s">
        <v>684</v>
      </c>
      <c r="G60" s="182" t="s">
        <v>13177</v>
      </c>
      <c r="H60" s="183">
        <v>0</v>
      </c>
      <c r="I60" s="184" t="s">
        <v>1582</v>
      </c>
      <c r="J60" s="184" t="s">
        <v>1583</v>
      </c>
      <c r="K60" s="224"/>
      <c r="L60" s="224"/>
      <c r="M60" s="224"/>
      <c r="N60" s="224"/>
      <c r="O60" s="224"/>
      <c r="P60" s="185"/>
      <c r="Q60" s="225"/>
      <c r="R60" s="182" t="s">
        <v>881</v>
      </c>
      <c r="S60" s="181" t="str">
        <f t="shared" ca="1" si="5"/>
        <v>US</v>
      </c>
      <c r="T60" s="181" t="str">
        <f ca="1">IF(B60="","",IF(ISERROR(MATCH($J60,[3]SorP!$B$1:$B$6226,0)),"",INDIRECT("'SorP'!$A$"&amp;MATCH($S60&amp;$J60,[3]SorP!C:C,0))))</f>
        <v>US-NY</v>
      </c>
      <c r="U60" s="201"/>
      <c r="V60" s="226">
        <f>IF(C60="",NA(),IF(OR(C60="Smelter not listed",C60="Smelter not yet identified"),MATCH($B60&amp;$D60,'[3]Smelter Look-up'!$J:$J,0),MATCH($B60&amp;$C60,'[3]Smelter Look-up'!$J:$J,0)))</f>
        <v>169</v>
      </c>
      <c r="X60" s="227">
        <f t="shared" si="6"/>
        <v>0</v>
      </c>
      <c r="AB60" s="228" t="str">
        <f t="shared" si="7"/>
        <v>GoldMaterion</v>
      </c>
    </row>
    <row r="61" spans="1:28" s="227" customFormat="1" ht="76.5">
      <c r="A61" s="181"/>
      <c r="B61" s="182" t="s">
        <v>1098</v>
      </c>
      <c r="C61" s="186" t="s">
        <v>792</v>
      </c>
      <c r="D61" s="230"/>
      <c r="E61" s="182" t="s">
        <v>2384</v>
      </c>
      <c r="F61" s="182" t="s">
        <v>720</v>
      </c>
      <c r="G61" s="182" t="s">
        <v>13177</v>
      </c>
      <c r="H61" s="183">
        <v>0</v>
      </c>
      <c r="I61" s="184" t="s">
        <v>1643</v>
      </c>
      <c r="J61" s="184" t="s">
        <v>1583</v>
      </c>
      <c r="K61" s="224"/>
      <c r="L61" s="224"/>
      <c r="M61" s="224"/>
      <c r="N61" s="224"/>
      <c r="O61" s="224"/>
      <c r="P61" s="185"/>
      <c r="Q61" s="225"/>
      <c r="R61" s="182" t="s">
        <v>792</v>
      </c>
      <c r="S61" s="181" t="str">
        <f t="shared" ca="1" si="5"/>
        <v>US</v>
      </c>
      <c r="T61" s="181" t="str">
        <f ca="1">IF(B61="","",IF(ISERROR(MATCH($J61,[3]SorP!$B$1:$B$6226,0)),"",INDIRECT("'SorP'!$A$"&amp;MATCH($S61&amp;$J61,[3]SorP!C:C,0))))</f>
        <v>US-NY</v>
      </c>
      <c r="U61" s="201"/>
      <c r="V61" s="226">
        <f>IF(C61="",NA(),IF(OR(C61="Smelter not listed",C61="Smelter not yet identified"),MATCH($B61&amp;$D61,'[3]Smelter Look-up'!$J:$J,0),MATCH($B61&amp;$C61,'[3]Smelter Look-up'!$J:$J,0)))</f>
        <v>303</v>
      </c>
      <c r="X61" s="227">
        <f t="shared" si="6"/>
        <v>0</v>
      </c>
      <c r="AB61" s="228" t="str">
        <f t="shared" si="7"/>
        <v>GoldUnited Precious Metal Refining, Inc.</v>
      </c>
    </row>
    <row r="62" spans="1:28" s="227" customFormat="1" ht="63.75">
      <c r="A62" s="181"/>
      <c r="B62" s="182" t="s">
        <v>1098</v>
      </c>
      <c r="C62" s="186" t="s">
        <v>12380</v>
      </c>
      <c r="D62" s="230"/>
      <c r="E62" s="182" t="s">
        <v>1071</v>
      </c>
      <c r="F62" s="182" t="s">
        <v>708</v>
      </c>
      <c r="G62" s="182" t="s">
        <v>13177</v>
      </c>
      <c r="H62" s="183">
        <v>0</v>
      </c>
      <c r="I62" s="184" t="s">
        <v>1617</v>
      </c>
      <c r="J62" s="184" t="s">
        <v>4621</v>
      </c>
      <c r="K62" s="224"/>
      <c r="L62" s="224"/>
      <c r="M62" s="224"/>
      <c r="N62" s="224"/>
      <c r="O62" s="224"/>
      <c r="P62" s="185"/>
      <c r="Q62" s="225"/>
      <c r="R62" s="182" t="s">
        <v>12380</v>
      </c>
      <c r="S62" s="181" t="str">
        <f t="shared" ca="1" si="5"/>
        <v>ES</v>
      </c>
      <c r="T62" s="181" t="str">
        <f ca="1">IF(B62="","",IF(ISERROR(MATCH($J62,[3]SorP!$B$1:$B$6226,0)),"",INDIRECT("'SorP'!$A$"&amp;MATCH($S62&amp;$J62,[3]SorP!C:C,0))))</f>
        <v>ES-MD</v>
      </c>
      <c r="U62" s="201"/>
      <c r="V62" s="226">
        <f>IF(C62="",NA(),IF(OR(C62="Smelter not listed",C62="Smelter not yet identified"),MATCH($B62&amp;$D62,'[3]Smelter Look-up'!$J:$J,0),MATCH($B62&amp;$C62,'[3]Smelter Look-up'!$J:$J,0)))</f>
        <v>242</v>
      </c>
      <c r="X62" s="227">
        <f t="shared" si="6"/>
        <v>0</v>
      </c>
      <c r="AB62" s="228" t="str">
        <f t="shared" si="7"/>
        <v>GoldSEMPSA Joyeria Plateria S.A.</v>
      </c>
    </row>
    <row r="63" spans="1:28" s="227" customFormat="1" ht="102">
      <c r="A63" s="181"/>
      <c r="B63" s="182" t="s">
        <v>1098</v>
      </c>
      <c r="C63" s="186" t="s">
        <v>2114</v>
      </c>
      <c r="D63" s="230"/>
      <c r="E63" s="182" t="s">
        <v>1069</v>
      </c>
      <c r="F63" s="182" t="s">
        <v>709</v>
      </c>
      <c r="G63" s="182" t="s">
        <v>13177</v>
      </c>
      <c r="H63" s="183">
        <v>0</v>
      </c>
      <c r="I63" s="184" t="s">
        <v>1552</v>
      </c>
      <c r="J63" s="184" t="s">
        <v>13532</v>
      </c>
      <c r="K63" s="224"/>
      <c r="L63" s="224"/>
      <c r="M63" s="224"/>
      <c r="N63" s="224"/>
      <c r="O63" s="224"/>
      <c r="P63" s="185"/>
      <c r="Q63" s="225"/>
      <c r="R63" s="182" t="s">
        <v>2114</v>
      </c>
      <c r="S63" s="181" t="str">
        <f t="shared" ca="1" si="5"/>
        <v>CN</v>
      </c>
      <c r="T63" s="181" t="str">
        <f ca="1">IF(B63="","",IF(ISERROR(MATCH($J63,[3]SorP!$B$1:$B$6226,0)),"",INDIRECT("'SorP'!$A$"&amp;MATCH($S63&amp;$J63,[3]SorP!C:C,0))))</f>
        <v>CN-SD</v>
      </c>
      <c r="U63" s="201"/>
      <c r="V63" s="226">
        <f>IF(C63="",NA(),IF(OR(C63="Smelter not listed",C63="Smelter not yet identified"),MATCH($B63&amp;$D63,'[3]Smelter Look-up'!$J:$J,0),MATCH($B63&amp;$C63,'[3]Smelter Look-up'!$J:$J,0)))</f>
        <v>254</v>
      </c>
      <c r="X63" s="227">
        <f t="shared" si="6"/>
        <v>0</v>
      </c>
      <c r="AB63" s="228" t="str">
        <f t="shared" si="7"/>
        <v>GoldShandong Zhaojin Gold &amp; Silver Refinery Co., Ltd.</v>
      </c>
    </row>
    <row r="64" spans="1:28" s="227" customFormat="1" ht="76.5">
      <c r="A64" s="181"/>
      <c r="B64" s="182" t="s">
        <v>1098</v>
      </c>
      <c r="C64" s="186" t="s">
        <v>14918</v>
      </c>
      <c r="D64" s="230"/>
      <c r="E64" s="182" t="s">
        <v>1069</v>
      </c>
      <c r="F64" s="182" t="s">
        <v>715</v>
      </c>
      <c r="G64" s="182" t="s">
        <v>13177</v>
      </c>
      <c r="H64" s="183">
        <v>0</v>
      </c>
      <c r="I64" s="184" t="s">
        <v>1621</v>
      </c>
      <c r="J64" s="184" t="s">
        <v>13532</v>
      </c>
      <c r="K64" s="224"/>
      <c r="L64" s="224"/>
      <c r="M64" s="224"/>
      <c r="N64" s="224"/>
      <c r="O64" s="224"/>
      <c r="P64" s="185"/>
      <c r="Q64" s="225"/>
      <c r="R64" s="182" t="s">
        <v>14918</v>
      </c>
      <c r="S64" s="181" t="str">
        <f t="shared" ca="1" si="5"/>
        <v>CN</v>
      </c>
      <c r="T64" s="181" t="str">
        <f ca="1">IF(B64="","",IF(ISERROR(MATCH($J64,[3]SorP!$B$1:$B$6226,0)),"",INDIRECT("'SorP'!$A$"&amp;MATCH($S64&amp;$J64,[3]SorP!C:C,0))))</f>
        <v>CN-SD</v>
      </c>
      <c r="U64" s="201"/>
      <c r="V64" s="226">
        <f>IF(C64="",NA(),IF(OR(C64="Smelter not listed",C64="Smelter not yet identified"),MATCH($B64&amp;$D64,'[3]Smelter Look-up'!$J:$J,0),MATCH($B64&amp;$C64,'[3]Smelter Look-up'!$J:$J,0)))</f>
        <v>247</v>
      </c>
      <c r="X64" s="227">
        <f t="shared" si="6"/>
        <v>0</v>
      </c>
      <c r="AB64" s="228" t="str">
        <f t="shared" si="7"/>
        <v>GoldShandong Gold Smelting Co., Ltd.</v>
      </c>
    </row>
    <row r="65" spans="1:28" s="227" customFormat="1" ht="102">
      <c r="A65" s="181"/>
      <c r="B65" s="182" t="s">
        <v>1098</v>
      </c>
      <c r="C65" s="186" t="s">
        <v>2283</v>
      </c>
      <c r="D65" s="230"/>
      <c r="E65" s="182" t="s">
        <v>1064</v>
      </c>
      <c r="F65" s="182" t="s">
        <v>719</v>
      </c>
      <c r="G65" s="182" t="s">
        <v>13177</v>
      </c>
      <c r="H65" s="183">
        <v>0</v>
      </c>
      <c r="I65" s="184" t="s">
        <v>1641</v>
      </c>
      <c r="J65" s="184" t="s">
        <v>3104</v>
      </c>
      <c r="K65" s="224"/>
      <c r="L65" s="224"/>
      <c r="M65" s="224"/>
      <c r="N65" s="224"/>
      <c r="O65" s="224"/>
      <c r="P65" s="185"/>
      <c r="Q65" s="225"/>
      <c r="R65" s="182" t="s">
        <v>2283</v>
      </c>
      <c r="S65" s="181" t="str">
        <f t="shared" ca="1" si="5"/>
        <v>BE</v>
      </c>
      <c r="T65" s="181" t="str">
        <f ca="1">IF(B65="","",IF(ISERROR(MATCH($J65,[3]SorP!$B$1:$B$6226,0)),"",INDIRECT("'SorP'!$A$"&amp;MATCH($S65&amp;$J65,[3]SorP!C:C,0))))</f>
        <v>BE-VAN</v>
      </c>
      <c r="U65" s="201"/>
      <c r="V65" s="226">
        <f>IF(C65="",NA(),IF(OR(C65="Smelter not listed",C65="Smelter not yet identified"),MATCH($B65&amp;$D65,'[3]Smelter Look-up'!$J:$J,0),MATCH($B65&amp;$C65,'[3]Smelter Look-up'!$J:$J,0)))</f>
        <v>302</v>
      </c>
      <c r="X65" s="227">
        <f t="shared" si="6"/>
        <v>0</v>
      </c>
      <c r="AB65" s="228" t="str">
        <f t="shared" si="7"/>
        <v>GoldUmicore S.A. Business Unit Precious Metals Refining</v>
      </c>
    </row>
    <row r="66" spans="1:28" s="227" customFormat="1" ht="51">
      <c r="A66" s="181"/>
      <c r="B66" s="182" t="s">
        <v>1098</v>
      </c>
      <c r="C66" s="186" t="s">
        <v>884</v>
      </c>
      <c r="D66" s="230"/>
      <c r="E66" s="182" t="s">
        <v>1066</v>
      </c>
      <c r="F66" s="182" t="s">
        <v>705</v>
      </c>
      <c r="G66" s="182" t="s">
        <v>13177</v>
      </c>
      <c r="H66" s="183">
        <v>0</v>
      </c>
      <c r="I66" s="184" t="s">
        <v>1611</v>
      </c>
      <c r="J66" s="184" t="s">
        <v>1569</v>
      </c>
      <c r="K66" s="224"/>
      <c r="L66" s="224"/>
      <c r="M66" s="224"/>
      <c r="N66" s="224"/>
      <c r="O66" s="224"/>
      <c r="P66" s="185"/>
      <c r="Q66" s="225"/>
      <c r="R66" s="182" t="s">
        <v>884</v>
      </c>
      <c r="S66" s="181" t="str">
        <f t="shared" ca="1" si="5"/>
        <v>CA</v>
      </c>
      <c r="T66" s="181" t="str">
        <f ca="1">IF(B66="","",IF(ISERROR(MATCH($J66,[3]SorP!$B$1:$B$6226,0)),"",INDIRECT("'SorP'!$A$"&amp;MATCH($S66&amp;$J66,[3]SorP!C:C,0))))</f>
        <v>CA-ON</v>
      </c>
      <c r="U66" s="201"/>
      <c r="V66" s="226">
        <f>IF(C66="",NA(),IF(OR(C66="Smelter not listed",C66="Smelter not yet identified"),MATCH($B66&amp;$D66,'[3]Smelter Look-up'!$J:$J,0),MATCH($B66&amp;$C66,'[3]Smelter Look-up'!$J:$J,0)))</f>
        <v>229</v>
      </c>
      <c r="X66" s="227">
        <f t="shared" si="6"/>
        <v>0</v>
      </c>
      <c r="AB66" s="228" t="str">
        <f t="shared" si="7"/>
        <v>GoldRoyal Canadian Mint</v>
      </c>
    </row>
    <row r="67" spans="1:28" s="227" customFormat="1" ht="63.75">
      <c r="A67" s="181"/>
      <c r="B67" s="182" t="s">
        <v>1098</v>
      </c>
      <c r="C67" s="186" t="s">
        <v>2257</v>
      </c>
      <c r="D67" s="230"/>
      <c r="E67" s="182" t="s">
        <v>1067</v>
      </c>
      <c r="F67" s="182" t="s">
        <v>688</v>
      </c>
      <c r="G67" s="182" t="s">
        <v>13177</v>
      </c>
      <c r="H67" s="183">
        <v>0</v>
      </c>
      <c r="I67" s="184" t="s">
        <v>1588</v>
      </c>
      <c r="J67" s="184" t="s">
        <v>1589</v>
      </c>
      <c r="K67" s="224"/>
      <c r="L67" s="224"/>
      <c r="M67" s="224"/>
      <c r="N67" s="224"/>
      <c r="O67" s="224"/>
      <c r="P67" s="185"/>
      <c r="Q67" s="225"/>
      <c r="R67" s="182" t="s">
        <v>2257</v>
      </c>
      <c r="S67" s="181" t="str">
        <f t="shared" ca="1" si="5"/>
        <v>CH</v>
      </c>
      <c r="T67" s="181" t="str">
        <f ca="1">IF(B67="","",IF(ISERROR(MATCH($J67,[3]SorP!$B$1:$B$6226,0)),"",INDIRECT("'SorP'!$A$"&amp;MATCH($S67&amp;$J67,[3]SorP!C:C,0))))</f>
        <v>CH-NE</v>
      </c>
      <c r="U67" s="201"/>
      <c r="V67" s="226">
        <f>IF(C67="",NA(),IF(OR(C67="Smelter not listed",C67="Smelter not yet identified"),MATCH($B67&amp;$D67,'[3]Smelter Look-up'!$J:$J,0),MATCH($B67&amp;$C67,'[3]Smelter Look-up'!$J:$J,0)))</f>
        <v>181</v>
      </c>
      <c r="X67" s="227">
        <f t="shared" si="6"/>
        <v>0</v>
      </c>
      <c r="AB67" s="228" t="str">
        <f t="shared" si="7"/>
        <v>GoldMetalor Technologies S.A.</v>
      </c>
    </row>
    <row r="68" spans="1:28" s="227" customFormat="1" ht="25.5" customHeight="1">
      <c r="A68" s="181"/>
      <c r="B68" s="182" t="s">
        <v>1098</v>
      </c>
      <c r="C68" s="186" t="s">
        <v>2106</v>
      </c>
      <c r="D68" s="230"/>
      <c r="E68" s="182" t="s">
        <v>857</v>
      </c>
      <c r="F68" s="182" t="s">
        <v>687</v>
      </c>
      <c r="G68" s="182" t="s">
        <v>13177</v>
      </c>
      <c r="H68" s="183">
        <v>0</v>
      </c>
      <c r="I68" s="184" t="s">
        <v>12670</v>
      </c>
      <c r="J68" s="184" t="s">
        <v>10242</v>
      </c>
      <c r="K68" s="224"/>
      <c r="L68" s="224"/>
      <c r="M68" s="224"/>
      <c r="N68" s="224"/>
      <c r="O68" s="224"/>
      <c r="P68" s="185"/>
      <c r="Q68" s="225"/>
      <c r="R68" s="182" t="s">
        <v>2106</v>
      </c>
      <c r="S68" s="181" t="str">
        <f t="shared" ca="1" si="5"/>
        <v>SG</v>
      </c>
      <c r="T68" s="181" t="str">
        <f ca="1">IF(B68="","",IF(ISERROR(MATCH($J68,[3]SorP!$B$1:$B$6226,0)),"",INDIRECT("'SorP'!$A$"&amp;MATCH($S68&amp;$J68,[3]SorP!C:C,0))))</f>
        <v>SG-05</v>
      </c>
      <c r="U68" s="201"/>
      <c r="V68" s="226">
        <f>IF(C68="",NA(),IF(OR(C68="Smelter not listed",C68="Smelter not yet identified"),MATCH($B68&amp;$D68,'[3]Smelter Look-up'!$J:$J,0),MATCH($B68&amp;$C68,'[3]Smelter Look-up'!$J:$J,0)))</f>
        <v>179</v>
      </c>
      <c r="X68" s="227">
        <f t="shared" si="6"/>
        <v>0</v>
      </c>
      <c r="AB68" s="228" t="str">
        <f t="shared" si="7"/>
        <v>GoldMetalor Technologies (Singapore) Pte., Ltd.</v>
      </c>
    </row>
    <row r="69" spans="1:28" s="227" customFormat="1" ht="63.75">
      <c r="A69" s="181"/>
      <c r="B69" s="182" t="s">
        <v>1098</v>
      </c>
      <c r="C69" s="186" t="s">
        <v>1195</v>
      </c>
      <c r="D69" s="230"/>
      <c r="E69" s="182" t="s">
        <v>2384</v>
      </c>
      <c r="F69" s="182" t="s">
        <v>689</v>
      </c>
      <c r="G69" s="182" t="s">
        <v>13177</v>
      </c>
      <c r="H69" s="183">
        <v>0</v>
      </c>
      <c r="I69" s="184" t="s">
        <v>1590</v>
      </c>
      <c r="J69" s="184" t="s">
        <v>1591</v>
      </c>
      <c r="K69" s="224"/>
      <c r="L69" s="224"/>
      <c r="M69" s="224"/>
      <c r="N69" s="224"/>
      <c r="O69" s="224"/>
      <c r="P69" s="185"/>
      <c r="Q69" s="225"/>
      <c r="R69" s="182" t="s">
        <v>1195</v>
      </c>
      <c r="S69" s="181" t="str">
        <f t="shared" ca="1" si="5"/>
        <v>US</v>
      </c>
      <c r="T69" s="181" t="str">
        <f ca="1">IF(B69="","",IF(ISERROR(MATCH($J69,[3]SorP!$B$1:$B$6226,0)),"",INDIRECT("'SorP'!$A$"&amp;MATCH($S69&amp;$J69,[3]SorP!C:C,0))))</f>
        <v>US-MA</v>
      </c>
      <c r="U69" s="201"/>
      <c r="V69" s="226">
        <f>IF(C69="",NA(),IF(OR(C69="Smelter not listed",C69="Smelter not yet identified"),MATCH($B69&amp;$D69,'[3]Smelter Look-up'!$J:$J,0),MATCH($B69&amp;$C69,'[3]Smelter Look-up'!$J:$J,0)))</f>
        <v>182</v>
      </c>
      <c r="X69" s="227">
        <f t="shared" si="6"/>
        <v>0</v>
      </c>
      <c r="AB69" s="228" t="str">
        <f t="shared" si="7"/>
        <v>GoldMetalor USA Refining Corporation</v>
      </c>
    </row>
    <row r="70" spans="1:28" s="227" customFormat="1" ht="89.25">
      <c r="A70" s="181"/>
      <c r="B70" s="182" t="s">
        <v>1098</v>
      </c>
      <c r="C70" s="186" t="s">
        <v>12376</v>
      </c>
      <c r="D70" s="230"/>
      <c r="E70" s="182" t="s">
        <v>1082</v>
      </c>
      <c r="F70" s="182" t="s">
        <v>690</v>
      </c>
      <c r="G70" s="182" t="s">
        <v>13177</v>
      </c>
      <c r="H70" s="183">
        <v>0</v>
      </c>
      <c r="I70" s="184" t="s">
        <v>1592</v>
      </c>
      <c r="J70" s="184" t="s">
        <v>12832</v>
      </c>
      <c r="K70" s="224"/>
      <c r="L70" s="224"/>
      <c r="M70" s="224"/>
      <c r="N70" s="224"/>
      <c r="O70" s="224"/>
      <c r="P70" s="185"/>
      <c r="Q70" s="225"/>
      <c r="R70" s="182" t="s">
        <v>12376</v>
      </c>
      <c r="S70" s="181" t="str">
        <f t="shared" ca="1" si="5"/>
        <v>MX</v>
      </c>
      <c r="T70" s="181" t="str">
        <f ca="1">IF(B70="","",IF(ISERROR(MATCH($J70,[3]SorP!$B$1:$B$6226,0)),"",INDIRECT("'SorP'!$A$"&amp;MATCH($S70&amp;$J70,[3]SorP!C:C,0))))</f>
        <v>MX-COA</v>
      </c>
      <c r="U70" s="201"/>
      <c r="V70" s="226">
        <f>IF(C70="",NA(),IF(OR(C70="Smelter not listed",C70="Smelter not yet identified"),MATCH($B70&amp;$D70,'[3]Smelter Look-up'!$J:$J,0),MATCH($B70&amp;$C70,'[3]Smelter Look-up'!$J:$J,0)))</f>
        <v>183</v>
      </c>
      <c r="X70" s="227">
        <f t="shared" si="6"/>
        <v>0</v>
      </c>
      <c r="AB70" s="228" t="str">
        <f t="shared" si="7"/>
        <v>GoldMetalurgica Met-Mex Penoles S.A. De C.V.</v>
      </c>
    </row>
    <row r="71" spans="1:28" s="227" customFormat="1" ht="38.25">
      <c r="A71" s="181"/>
      <c r="B71" s="182" t="s">
        <v>1098</v>
      </c>
      <c r="C71" s="186" t="s">
        <v>50</v>
      </c>
      <c r="D71" s="230"/>
      <c r="E71" s="182" t="s">
        <v>1076</v>
      </c>
      <c r="F71" s="182" t="s">
        <v>649</v>
      </c>
      <c r="G71" s="182" t="s">
        <v>13177</v>
      </c>
      <c r="H71" s="183">
        <v>0</v>
      </c>
      <c r="I71" s="184" t="s">
        <v>1536</v>
      </c>
      <c r="J71" s="184" t="s">
        <v>6417</v>
      </c>
      <c r="K71" s="224"/>
      <c r="L71" s="224"/>
      <c r="M71" s="224"/>
      <c r="N71" s="224"/>
      <c r="O71" s="224"/>
      <c r="P71" s="185"/>
      <c r="Q71" s="225"/>
      <c r="R71" s="182" t="s">
        <v>50</v>
      </c>
      <c r="S71" s="181" t="str">
        <f t="shared" ca="1" si="5"/>
        <v>IT</v>
      </c>
      <c r="T71" s="181" t="str">
        <f ca="1">IF(B71="","",IF(ISERROR(MATCH($J71,[3]SorP!$B$1:$B$6226,0)),"",INDIRECT("'SorP'!$A$"&amp;MATCH($S71&amp;$J71,[3]SorP!C:C,0))))</f>
        <v>IT-52</v>
      </c>
      <c r="U71" s="201"/>
      <c r="V71" s="226">
        <f>IF(C71="",NA(),IF(OR(C71="Smelter not listed",C71="Smelter not yet identified"),MATCH($B71&amp;$D71,'[3]Smelter Look-up'!$J:$J,0),MATCH($B71&amp;$C71,'[3]Smelter Look-up'!$J:$J,0)))</f>
        <v>56</v>
      </c>
      <c r="X71" s="227">
        <f t="shared" si="6"/>
        <v>0</v>
      </c>
      <c r="AB71" s="228" t="str">
        <f t="shared" si="7"/>
        <v>GoldChimet S.p.A.</v>
      </c>
    </row>
    <row r="72" spans="1:28" s="227" customFormat="1" ht="89.25">
      <c r="A72" s="181"/>
      <c r="B72" s="182" t="s">
        <v>1098</v>
      </c>
      <c r="C72" s="186" t="s">
        <v>2105</v>
      </c>
      <c r="D72" s="230"/>
      <c r="E72" s="182" t="s">
        <v>1069</v>
      </c>
      <c r="F72" s="182" t="s">
        <v>686</v>
      </c>
      <c r="G72" s="182" t="s">
        <v>13177</v>
      </c>
      <c r="H72" s="183">
        <v>0</v>
      </c>
      <c r="I72" s="184" t="s">
        <v>1587</v>
      </c>
      <c r="J72" s="184" t="s">
        <v>15604</v>
      </c>
      <c r="K72" s="224"/>
      <c r="L72" s="224"/>
      <c r="M72" s="224"/>
      <c r="N72" s="224"/>
      <c r="O72" s="224"/>
      <c r="P72" s="185"/>
      <c r="Q72" s="225"/>
      <c r="R72" s="182" t="s">
        <v>2105</v>
      </c>
      <c r="S72" s="181" t="str">
        <f t="shared" ca="1" si="5"/>
        <v>CN</v>
      </c>
      <c r="T72" s="181" t="str">
        <f ca="1">IF(B72="","",IF(ISERROR(MATCH($J72,[4]SorP!$B$1:$B$6226,0)),"",INDIRECT("'SorP'!$A$"&amp;MATCH($S72&amp;$J72,[4]SorP!C:C,0))))</f>
        <v>CN-HK</v>
      </c>
      <c r="U72" s="201"/>
      <c r="V72" s="226">
        <f>IF(C72="",NA(),IF(OR(C72="Smelter not listed",C72="Smelter not yet identified"),MATCH($B72&amp;$D72,'[4]Smelter Look-up'!$J:$J,0),MATCH($B72&amp;$C72,'[4]Smelter Look-up'!$J:$J,0)))</f>
        <v>178</v>
      </c>
      <c r="X72" s="227">
        <f t="shared" si="6"/>
        <v>0</v>
      </c>
      <c r="AB72" s="228" t="str">
        <f t="shared" si="7"/>
        <v>GoldMetalor Technologies (Hong Kong) Ltd.</v>
      </c>
    </row>
    <row r="73" spans="1:28" s="227" customFormat="1" ht="76.5">
      <c r="A73" s="181"/>
      <c r="B73" s="182" t="s">
        <v>1098</v>
      </c>
      <c r="C73" s="186" t="s">
        <v>1585</v>
      </c>
      <c r="D73" s="230"/>
      <c r="E73" s="182" t="s">
        <v>1069</v>
      </c>
      <c r="F73" s="182" t="s">
        <v>1586</v>
      </c>
      <c r="G73" s="182" t="s">
        <v>13177</v>
      </c>
      <c r="H73" s="183">
        <v>0</v>
      </c>
      <c r="I73" s="184" t="s">
        <v>2464</v>
      </c>
      <c r="J73" s="184" t="s">
        <v>13544</v>
      </c>
      <c r="K73" s="224"/>
      <c r="L73" s="224"/>
      <c r="M73" s="224"/>
      <c r="N73" s="224"/>
      <c r="O73" s="224"/>
      <c r="P73" s="185"/>
      <c r="Q73" s="225"/>
      <c r="R73" s="182" t="s">
        <v>1585</v>
      </c>
      <c r="S73" s="181" t="str">
        <f t="shared" ca="1" si="5"/>
        <v>CN</v>
      </c>
      <c r="T73" s="181" t="str">
        <f ca="1">IF(B73="","",IF(ISERROR(MATCH($J73,[4]SorP!$B$1:$B$6226,0)),"",INDIRECT("'SorP'!$A$"&amp;MATCH($S73&amp;$J73,[4]SorP!C:C,0))))</f>
        <v>CN-JS</v>
      </c>
      <c r="U73" s="201"/>
      <c r="V73" s="226">
        <f>IF(C73="",NA(),IF(OR(C73="Smelter not listed",C73="Smelter not yet identified"),MATCH($B73&amp;$D73,'[4]Smelter Look-up'!$J:$J,0),MATCH($B73&amp;$C73,'[4]Smelter Look-up'!$J:$J,0)))</f>
        <v>180</v>
      </c>
      <c r="X73" s="227">
        <f t="shared" si="6"/>
        <v>0</v>
      </c>
      <c r="AB73" s="228" t="str">
        <f t="shared" si="7"/>
        <v>GoldMetalor Technologies (Suzhou) Ltd.</v>
      </c>
    </row>
    <row r="74" spans="1:28" s="227" customFormat="1" ht="20.100000000000001" customHeight="1">
      <c r="A74" s="181" t="s">
        <v>688</v>
      </c>
      <c r="B74" s="182" t="s">
        <v>1098</v>
      </c>
      <c r="C74" s="186" t="s">
        <v>2257</v>
      </c>
      <c r="D74" s="230"/>
      <c r="E74" s="182" t="s">
        <v>1067</v>
      </c>
      <c r="F74" s="182" t="s">
        <v>688</v>
      </c>
      <c r="G74" s="182" t="s">
        <v>13177</v>
      </c>
      <c r="H74" s="183">
        <v>0</v>
      </c>
      <c r="I74" s="184" t="s">
        <v>1588</v>
      </c>
      <c r="J74" s="184" t="s">
        <v>1589</v>
      </c>
      <c r="K74" s="224"/>
      <c r="L74" s="224"/>
      <c r="M74" s="224"/>
      <c r="N74" s="224"/>
      <c r="O74" s="224"/>
      <c r="P74" s="185"/>
      <c r="Q74" s="225"/>
      <c r="R74" s="182" t="s">
        <v>2257</v>
      </c>
      <c r="S74" s="181" t="str">
        <f ca="1">IF(B74="","",IF(ISERROR(MATCH($E74,CL,0)),"Unknown",INDIRECT("'C'!$A$"&amp;MATCH($E74,CL,0)+1)))</f>
        <v>CH</v>
      </c>
      <c r="T74" s="181" t="str">
        <f ca="1">IF(B74="","",IF(ISERROR(MATCH($J74,[5]SorP!$B$1:$B$6226,0)),"",INDIRECT("'SorP'!$A$"&amp;MATCH($S74&amp;$J74,[5]SorP!C:C,0))))</f>
        <v>CH-NE</v>
      </c>
      <c r="U74" s="201"/>
      <c r="V74" s="226">
        <f>IF(C74="",NA(),IF(OR(C74="Smelter not listed",C74="Smelter not yet identified"),MATCH($B74&amp;$D74,'[5]Smelter Look-up'!$J:$J,0),MATCH($B74&amp;$C74,'[5]Smelter Look-up'!$J:$J,0)))</f>
        <v>181</v>
      </c>
      <c r="X74" s="227">
        <f t="shared" si="6"/>
        <v>0</v>
      </c>
      <c r="AB74" s="228" t="str">
        <f t="shared" si="7"/>
        <v>GoldMetalor Technologies S.A.</v>
      </c>
    </row>
    <row r="75" spans="1:28" s="227" customFormat="1" ht="20.100000000000001" customHeight="1">
      <c r="A75" s="181" t="s">
        <v>747</v>
      </c>
      <c r="B75" s="182" t="s">
        <v>1099</v>
      </c>
      <c r="C75" s="186" t="s">
        <v>788</v>
      </c>
      <c r="D75" s="230"/>
      <c r="E75" s="182" t="s">
        <v>853</v>
      </c>
      <c r="F75" s="182" t="s">
        <v>747</v>
      </c>
      <c r="G75" s="182" t="s">
        <v>13177</v>
      </c>
      <c r="H75" s="183">
        <v>0</v>
      </c>
      <c r="I75" s="184" t="s">
        <v>1730</v>
      </c>
      <c r="J75" s="184" t="s">
        <v>9448</v>
      </c>
      <c r="K75" s="224"/>
      <c r="L75" s="224"/>
      <c r="M75" s="224"/>
      <c r="N75" s="224"/>
      <c r="O75" s="224"/>
      <c r="P75" s="185"/>
      <c r="Q75" s="225"/>
      <c r="R75" s="182" t="s">
        <v>788</v>
      </c>
      <c r="S75" s="181" t="str">
        <f t="shared" ref="S75:S77" ca="1" si="8">IF(B75="","",IF(ISERROR(MATCH($E75,CL,0)),"Unknown",INDIRECT("'C'!$A$"&amp;MATCH($E75,CL,0)+1)))</f>
        <v>PL</v>
      </c>
      <c r="T75" s="181" t="str">
        <f ca="1">IF(B75="","",IF(ISERROR(MATCH($J75,[5]SorP!$B$1:$B$6226,0)),"",INDIRECT("'SorP'!$A$"&amp;MATCH($S75&amp;$J75,[5]SorP!C:C,0))))</f>
        <v>PL-18</v>
      </c>
      <c r="U75" s="201"/>
      <c r="V75" s="226">
        <f>IF(C75="",NA(),IF(OR(C75="Smelter not listed",C75="Smelter not yet identified"),MATCH($B75&amp;$D75,'[5]Smelter Look-up'!$J:$J,0),MATCH($B75&amp;$C75,'[5]Smelter Look-up'!$J:$J,0)))</f>
        <v>437</v>
      </c>
      <c r="X75" s="227">
        <f t="shared" si="6"/>
        <v>0</v>
      </c>
      <c r="AB75" s="228" t="str">
        <f t="shared" si="7"/>
        <v>TinFenix Metals</v>
      </c>
    </row>
    <row r="76" spans="1:28" s="227" customFormat="1" ht="20.100000000000001" customHeight="1">
      <c r="A76" s="181" t="s">
        <v>760</v>
      </c>
      <c r="B76" s="182" t="s">
        <v>1099</v>
      </c>
      <c r="C76" s="186" t="s">
        <v>13713</v>
      </c>
      <c r="D76" s="230"/>
      <c r="E76" s="182" t="s">
        <v>1074</v>
      </c>
      <c r="F76" s="182" t="s">
        <v>760</v>
      </c>
      <c r="G76" s="182" t="s">
        <v>13177</v>
      </c>
      <c r="H76" s="183"/>
      <c r="I76" s="184" t="s">
        <v>1751</v>
      </c>
      <c r="J76" s="184" t="s">
        <v>15829</v>
      </c>
      <c r="K76" s="224"/>
      <c r="L76" s="224"/>
      <c r="M76" s="224"/>
      <c r="N76" s="224"/>
      <c r="O76" s="224"/>
      <c r="P76" s="185"/>
      <c r="Q76" s="225"/>
      <c r="R76" s="182"/>
      <c r="S76" s="181"/>
      <c r="T76" s="181"/>
      <c r="U76" s="201"/>
      <c r="V76" s="226"/>
      <c r="AB76" s="228"/>
    </row>
    <row r="77" spans="1:28" s="227" customFormat="1" ht="20.100000000000001" customHeight="1">
      <c r="A77" s="181" t="s">
        <v>777</v>
      </c>
      <c r="B77" s="182" t="s">
        <v>1099</v>
      </c>
      <c r="C77" s="186" t="s">
        <v>13714</v>
      </c>
      <c r="D77" s="230"/>
      <c r="E77" s="182" t="s">
        <v>1074</v>
      </c>
      <c r="F77" s="182" t="s">
        <v>777</v>
      </c>
      <c r="G77" s="182" t="s">
        <v>13177</v>
      </c>
      <c r="H77" s="183">
        <v>0</v>
      </c>
      <c r="I77" s="184" t="s">
        <v>1749</v>
      </c>
      <c r="J77" s="184" t="s">
        <v>6016</v>
      </c>
      <c r="K77" s="224"/>
      <c r="L77" s="224"/>
      <c r="M77" s="224"/>
      <c r="N77" s="224"/>
      <c r="O77" s="224"/>
      <c r="P77" s="185"/>
      <c r="Q77" s="225"/>
      <c r="R77" s="182" t="s">
        <v>13714</v>
      </c>
      <c r="S77" s="181" t="str">
        <f t="shared" ca="1" si="8"/>
        <v>ID</v>
      </c>
      <c r="T77" s="181" t="str">
        <f ca="1">IF(B77="","",IF(ISERROR(MATCH($J77,[5]SorP!$B$1:$B$6226,0)),"",INDIRECT("'SorP'!$A$"&amp;MATCH($S77&amp;$J77,[5]SorP!C:C,0))))</f>
        <v>ID-RI</v>
      </c>
      <c r="U77" s="201"/>
      <c r="V77" s="226">
        <f>IF(C77="",NA(),IF(OR(C77="Smelter not listed",C77="Smelter not yet identified"),MATCH($B77&amp;$D77,'[5]Smelter Look-up'!$J:$J,0),MATCH($B77&amp;$C77,'[5]Smelter Look-up'!$J:$J,0)))</f>
        <v>509</v>
      </c>
      <c r="X77" s="227">
        <f t="shared" si="6"/>
        <v>0</v>
      </c>
      <c r="AB77" s="228" t="str">
        <f t="shared" si="7"/>
        <v>TinPT Timah Tbk Kundur</v>
      </c>
    </row>
    <row r="78" spans="1:28" s="227" customFormat="1" ht="25.5">
      <c r="A78" s="181"/>
      <c r="B78" s="182" t="s">
        <v>1099</v>
      </c>
      <c r="C78" s="186" t="s">
        <v>788</v>
      </c>
      <c r="D78" s="230"/>
      <c r="E78" s="182" t="s">
        <v>853</v>
      </c>
      <c r="F78" s="182" t="s">
        <v>747</v>
      </c>
      <c r="G78" s="182" t="s">
        <v>13177</v>
      </c>
      <c r="H78" s="183">
        <v>0</v>
      </c>
      <c r="I78" s="184" t="s">
        <v>1730</v>
      </c>
      <c r="J78" s="184" t="s">
        <v>9448</v>
      </c>
      <c r="K78" s="224"/>
      <c r="L78" s="224"/>
      <c r="M78" s="224"/>
      <c r="N78" s="224"/>
      <c r="O78" s="224"/>
      <c r="P78" s="185"/>
      <c r="Q78" s="225"/>
      <c r="R78" s="182" t="s">
        <v>788</v>
      </c>
      <c r="S78" s="181" t="str">
        <f ca="1">IF(B78="","",IF(ISERROR(MATCH($E78,CL,0)),"Unknown",INDIRECT("'C'!$A$"&amp;MATCH($E78,CL,0)+1)))</f>
        <v>PL</v>
      </c>
      <c r="T78" s="181" t="str">
        <f ca="1">IF(B78="","",IF(ISERROR(MATCH($J78,[6]SorP!$B$1:$B$6226,0)),"",INDIRECT("'SorP'!$A$"&amp;MATCH($S78&amp;$J78,[6]SorP!C:C,0))))</f>
        <v>PL-18</v>
      </c>
      <c r="U78" s="201"/>
      <c r="V78" s="226">
        <f>IF(C78="",NA(),IF(OR(C78="Smelter not listed",C78="Smelter not yet identified"),MATCH($B78&amp;$D78,'[6]Smelter Look-up'!$J:$J,0),MATCH($B78&amp;$C78,'[6]Smelter Look-up'!$J:$J,0)))</f>
        <v>437</v>
      </c>
      <c r="X78" s="227">
        <f t="shared" si="6"/>
        <v>0</v>
      </c>
      <c r="AB78" s="228" t="str">
        <f t="shared" si="7"/>
        <v>TinFenix Metals</v>
      </c>
    </row>
    <row r="79" spans="1:28" s="227" customFormat="1" ht="39.75" customHeight="1">
      <c r="A79" s="181"/>
      <c r="B79" s="182" t="s">
        <v>1099</v>
      </c>
      <c r="C79" s="186" t="s">
        <v>814</v>
      </c>
      <c r="D79" s="230"/>
      <c r="E79" s="182" t="s">
        <v>2382</v>
      </c>
      <c r="F79" s="182" t="s">
        <v>745</v>
      </c>
      <c r="G79" s="182" t="s">
        <v>13177</v>
      </c>
      <c r="H79" s="183">
        <v>0</v>
      </c>
      <c r="I79" s="184" t="s">
        <v>1728</v>
      </c>
      <c r="J79" s="184" t="s">
        <v>1728</v>
      </c>
      <c r="K79" s="224"/>
      <c r="L79" s="224"/>
      <c r="M79" s="224"/>
      <c r="N79" s="224"/>
      <c r="O79" s="224"/>
      <c r="P79" s="185"/>
      <c r="Q79" s="225"/>
      <c r="R79" s="182" t="s">
        <v>814</v>
      </c>
      <c r="S79" s="181" t="str">
        <f t="shared" ref="S79:S80" ca="1" si="9">IF(B79="","",IF(ISERROR(MATCH($E79,CL,0)),"Unknown",INDIRECT("'C'!$A$"&amp;MATCH($E79,CL,0)+1)))</f>
        <v>BO</v>
      </c>
      <c r="T79" s="181" t="str">
        <f ca="1">IF(B79="","",IF(ISERROR(MATCH($J79,[6]SorP!$B$1:$B$6226,0)),"",INDIRECT("'SorP'!$A$"&amp;MATCH($S79&amp;$J79,[6]SorP!C:C,0))))</f>
        <v>BO-O</v>
      </c>
      <c r="U79" s="201"/>
      <c r="V79" s="226">
        <f>IF(C79="",NA(),IF(OR(C79="Smelter not listed",C79="Smelter not yet identified"),MATCH($B79&amp;$D79,'[6]Smelter Look-up'!$J:$J,0),MATCH($B79&amp;$C79,'[6]Smelter Look-up'!$J:$J,0)))</f>
        <v>428</v>
      </c>
      <c r="X79" s="227">
        <f t="shared" si="6"/>
        <v>0</v>
      </c>
      <c r="AB79" s="228" t="str">
        <f t="shared" si="7"/>
        <v>TinEM Vinto</v>
      </c>
    </row>
    <row r="80" spans="1:28" s="227" customFormat="1" ht="46.5" customHeight="1">
      <c r="A80" s="181"/>
      <c r="B80" s="182" t="s">
        <v>1099</v>
      </c>
      <c r="C80" s="186" t="s">
        <v>13715</v>
      </c>
      <c r="D80" s="230"/>
      <c r="E80" s="182" t="s">
        <v>2382</v>
      </c>
      <c r="F80" s="182" t="s">
        <v>758</v>
      </c>
      <c r="G80" s="182" t="s">
        <v>13177</v>
      </c>
      <c r="H80" s="183">
        <v>0</v>
      </c>
      <c r="I80" s="184" t="s">
        <v>1728</v>
      </c>
      <c r="J80" s="184" t="s">
        <v>1728</v>
      </c>
      <c r="K80" s="224"/>
      <c r="L80" s="224"/>
      <c r="M80" s="224"/>
      <c r="N80" s="224"/>
      <c r="O80" s="224"/>
      <c r="P80" s="185"/>
      <c r="Q80" s="225"/>
      <c r="R80" s="182" t="s">
        <v>13715</v>
      </c>
      <c r="S80" s="181" t="str">
        <f t="shared" ca="1" si="9"/>
        <v>BO</v>
      </c>
      <c r="T80" s="181" t="str">
        <f ca="1">IF(B80="","",IF(ISERROR(MATCH($J80,[6]SorP!$B$1:$B$6226,0)),"",INDIRECT("'SorP'!$A$"&amp;MATCH($S80&amp;$J80,[6]SorP!C:C,0))))</f>
        <v>BO-O</v>
      </c>
      <c r="U80" s="201"/>
      <c r="V80" s="226">
        <f>IF(C80="",NA(),IF(OR(C80="Smelter not listed",C80="Smelter not yet identified"),MATCH($B80&amp;$D80,'[6]Smelter Look-up'!$J:$J,0),MATCH($B80&amp;$C80,'[6]Smelter Look-up'!$J:$J,0)))</f>
        <v>493</v>
      </c>
      <c r="X80" s="227">
        <f t="shared" si="6"/>
        <v>0</v>
      </c>
      <c r="AB80" s="228" t="str">
        <f t="shared" si="7"/>
        <v>TinOperaciones Metalurgicas S.A.</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70:S101" ca="1" si="10">IF(B81="","",IF(ISERROR(MATCH($E81,CL,0)),"Unknown",INDIRECT("'C'!$A$"&amp;MATCH($E81,CL,0)+1)))</f>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ref="X70:X101" ca="1" si="11">IF(AND(C81="Smelter not listed",OR(LEN(D81)=0,LEN(E81)=0)),1,0)</f>
        <v>0</v>
      </c>
      <c r="AB81" s="228" t="str">
        <f t="shared" ref="AB70:AB101" si="12">B81&amp;C81</f>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6">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7">IF(AND(C133="Smelter not listed",OR(LEN(D133)=0,LEN(E133)=0)),1,0)</f>
        <v>0</v>
      </c>
      <c r="AB133" s="228" t="str">
        <f t="shared" ref="AB133" si="18">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9">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0">IF(AND(C134="Smelter not listed",OR(LEN(D134)=0,LEN(E134)=0)),1,0)</f>
        <v>0</v>
      </c>
      <c r="AB134" s="228" t="str">
        <f t="shared" ref="AB134:AB165" si="21">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2">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3">IF(AND(C166="Smelter not listed",OR(LEN(D166)=0,LEN(E166)=0)),1,0)</f>
        <v>0</v>
      </c>
      <c r="AB166" s="228" t="str">
        <f t="shared" ref="AB166:AB196" si="24">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5">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6">IF(AND(C197="Smelter not listed",OR(LEN(D197)=0,LEN(E197)=0)),1,0)</f>
        <v>0</v>
      </c>
      <c r="AB197" s="228" t="str">
        <f t="shared" ref="AB197" si="27">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9">IF(AND(C198="Smelter not listed",OR(LEN(D198)=0,LEN(E198)=0)),1,0)</f>
        <v>0</v>
      </c>
      <c r="AB198" s="228" t="str">
        <f t="shared" ref="AB198:AB229" si="3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2">IF(AND(C230="Smelter not listed",OR(LEN(D230)=0,LEN(E230)=0)),1,0)</f>
        <v>0</v>
      </c>
      <c r="AB230" s="228" t="str">
        <f t="shared" ref="AB230:AB260" si="3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4">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5">IF(AND(C261="Smelter not listed",OR(LEN(D261)=0,LEN(E261)=0)),1,0)</f>
        <v>0</v>
      </c>
      <c r="AB261" s="228" t="str">
        <f t="shared" ref="AB261" si="36">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7">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8">IF(AND(C262="Smelter not listed",OR(LEN(D262)=0,LEN(E262)=0)),1,0)</f>
        <v>0</v>
      </c>
      <c r="AB262" s="228" t="str">
        <f t="shared" ref="AB262:AB293" si="3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0">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1">IF(AND(C294="Smelter not listed",OR(LEN(D294)=0,LEN(E294)=0)),1,0)</f>
        <v>0</v>
      </c>
      <c r="AB294" s="228" t="str">
        <f t="shared" ref="AB294:AB324" si="42">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3">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4">IF(AND(C325="Smelter not listed",OR(LEN(D325)=0,LEN(E325)=0)),1,0)</f>
        <v>0</v>
      </c>
      <c r="AB325" s="228" t="str">
        <f t="shared" ref="AB325" si="45">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6">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7">IF(AND(C326="Smelter not listed",OR(LEN(D326)=0,LEN(E326)=0)),1,0)</f>
        <v>0</v>
      </c>
      <c r="AB326" s="228" t="str">
        <f t="shared" ref="AB326:AB357" si="48">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0">IF(AND(C358="Smelter not listed",OR(LEN(D358)=0,LEN(E358)=0)),1,0)</f>
        <v>0</v>
      </c>
      <c r="AB358" s="228" t="str">
        <f t="shared" ref="AB358:AB388" si="51">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3">IF(AND(C389="Smelter not listed",OR(LEN(D389)=0,LEN(E389)=0)),1,0)</f>
        <v>0</v>
      </c>
      <c r="AB389" s="228" t="str">
        <f t="shared" ref="AB389" si="54">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6">IF(AND(C390="Smelter not listed",OR(LEN(D390)=0,LEN(E390)=0)),1,0)</f>
        <v>0</v>
      </c>
      <c r="AB390" s="228" t="str">
        <f t="shared" ref="AB390:AB421" si="57">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9">IF(AND(C422="Smelter not listed",OR(LEN(D422)=0,LEN(E422)=0)),1,0)</f>
        <v>0</v>
      </c>
      <c r="AB422" s="228" t="str">
        <f t="shared" ref="AB422:AB452" si="6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2">IF(AND(C453="Smelter not listed",OR(LEN(D453)=0,LEN(E453)=0)),1,0)</f>
        <v>0</v>
      </c>
      <c r="AB453" s="228" t="str">
        <f t="shared" ref="AB453" si="6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5">IF(AND(C454="Smelter not listed",OR(LEN(D454)=0,LEN(E454)=0)),1,0)</f>
        <v>0</v>
      </c>
      <c r="AB454" s="228" t="str">
        <f t="shared" ref="AB454:AB485" si="66">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8">IF(AND(C486="Smelter not listed",OR(LEN(D486)=0,LEN(E486)=0)),1,0)</f>
        <v>0</v>
      </c>
      <c r="AB486" s="228" t="str">
        <f t="shared" ref="AB486:AB516" si="69">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1">IF(AND(C517="Smelter not listed",OR(LEN(D517)=0,LEN(E517)=0)),1,0)</f>
        <v>0</v>
      </c>
      <c r="AB517" s="228" t="str">
        <f t="shared" ref="AB517" si="72">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4">IF(AND(C518="Smelter not listed",OR(LEN(D518)=0,LEN(E518)=0)),1,0)</f>
        <v>0</v>
      </c>
      <c r="AB518" s="228" t="str">
        <f t="shared" ref="AB518:AB549" si="75">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4"/>
        <v>0</v>
      </c>
      <c r="AB549" s="228" t="str">
        <f t="shared" si="7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7">IF(AND(C550="Smelter not listed",OR(LEN(D550)=0,LEN(E550)=0)),1,0)</f>
        <v>0</v>
      </c>
      <c r="AB550" s="228" t="str">
        <f t="shared" ref="AB550:AB580" si="78">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0">IF(AND(C581="Smelter not listed",OR(LEN(D581)=0,LEN(E581)=0)),1,0)</f>
        <v>0</v>
      </c>
      <c r="AB581" s="228" t="str">
        <f t="shared" ref="AB581" si="81">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3">IF(AND(C586="Smelter not listed",OR(LEN(D586)=0,LEN(E586)=0)),1,0)</f>
        <v>0</v>
      </c>
      <c r="AB586" s="228" t="str">
        <f t="shared" ref="AB586" si="8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6">IF(AND(C587="Smelter not listed",OR(LEN(D587)=0,LEN(E587)=0)),1,0)</f>
        <v>0</v>
      </c>
      <c r="AB587" s="228" t="str">
        <f t="shared" ref="AB587:AB634" si="87">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9">IF(AND(C635="Smelter not listed",OR(LEN(D635)=0,LEN(E635)=0)),1,0)</f>
        <v>0</v>
      </c>
      <c r="AB635" s="228" t="str">
        <f t="shared" ref="AB635" si="90">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2">IF(AND(C636="Smelter not listed",OR(LEN(D636)=0,LEN(E636)=0)),1,0)</f>
        <v>0</v>
      </c>
      <c r="AB636" s="228" t="str">
        <f t="shared" ref="AB636:AB667" si="93">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5">IF(AND(C668="Smelter not listed",OR(LEN(D668)=0,LEN(E668)=0)),1,0)</f>
        <v>0</v>
      </c>
      <c r="AB668" s="228" t="str">
        <f t="shared" ref="AB668:AB698" si="96">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8">IF(AND(C699="Smelter not listed",OR(LEN(D699)=0,LEN(E699)=0)),1,0)</f>
        <v>0</v>
      </c>
      <c r="AB699" s="228" t="str">
        <f t="shared" ref="AB699" si="99">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1">IF(AND(C700="Smelter not listed",OR(LEN(D700)=0,LEN(E700)=0)),1,0)</f>
        <v>0</v>
      </c>
      <c r="AB700" s="228" t="str">
        <f t="shared" ref="AB700:AB731" si="10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4">IF(AND(C732="Smelter not listed",OR(LEN(D732)=0,LEN(E732)=0)),1,0)</f>
        <v>0</v>
      </c>
      <c r="AB732" s="228" t="str">
        <f t="shared" ref="AB732:AB762" si="10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7">IF(AND(C763="Smelter not listed",OR(LEN(D763)=0,LEN(E763)=0)),1,0)</f>
        <v>0</v>
      </c>
      <c r="AB763" s="228" t="str">
        <f t="shared" ref="AB763" si="10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0">IF(AND(C764="Smelter not listed",OR(LEN(D764)=0,LEN(E764)=0)),1,0)</f>
        <v>0</v>
      </c>
      <c r="AB764" s="228" t="str">
        <f t="shared" ref="AB764:AB795" si="11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3">IF(AND(C796="Smelter not listed",OR(LEN(D796)=0,LEN(E796)=0)),1,0)</f>
        <v>0</v>
      </c>
      <c r="AB796" s="228" t="str">
        <f t="shared" ref="AB796:AB826" si="11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6">IF(AND(C827="Smelter not listed",OR(LEN(D827)=0,LEN(E827)=0)),1,0)</f>
        <v>0</v>
      </c>
      <c r="AB827" s="228" t="str">
        <f t="shared" ref="AB827" si="11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9">IF(AND(C828="Smelter not listed",OR(LEN(D828)=0,LEN(E828)=0)),1,0)</f>
        <v>0</v>
      </c>
      <c r="AB828" s="228" t="str">
        <f t="shared" ref="AB828:AB859" si="12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2">IF(AND(C860="Smelter not listed",OR(LEN(D860)=0,LEN(E860)=0)),1,0)</f>
        <v>0</v>
      </c>
      <c r="AB860" s="228" t="str">
        <f t="shared" ref="AB860:AB890" si="12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5">IF(AND(C891="Smelter not listed",OR(LEN(D891)=0,LEN(E891)=0)),1,0)</f>
        <v>0</v>
      </c>
      <c r="AB891" s="228" t="str">
        <f t="shared" ref="AB891" si="12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8">IF(AND(C892="Smelter not listed",OR(LEN(D892)=0,LEN(E892)=0)),1,0)</f>
        <v>0</v>
      </c>
      <c r="AB892" s="228" t="str">
        <f t="shared" ref="AB892:AB923" si="12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1">IF(AND(C924="Smelter not listed",OR(LEN(D924)=0,LEN(E924)=0)),1,0)</f>
        <v>0</v>
      </c>
      <c r="AB924" s="228" t="str">
        <f t="shared" ref="AB924:AB954" si="13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4">IF(AND(C955="Smelter not listed",OR(LEN(D955)=0,LEN(E955)=0)),1,0)</f>
        <v>0</v>
      </c>
      <c r="AB955" s="228" t="str">
        <f t="shared" ref="AB955" si="13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7">IF(AND(C956="Smelter not listed",OR(LEN(D956)=0,LEN(E956)=0)),1,0)</f>
        <v>0</v>
      </c>
      <c r="AB956" s="228" t="str">
        <f t="shared" ref="AB956:AB987" si="13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0">IF(AND(C988="Smelter not listed",OR(LEN(D988)=0,LEN(E988)=0)),1,0)</f>
        <v>0</v>
      </c>
      <c r="AB988" s="228" t="str">
        <f t="shared" ref="AB988:AB1018" si="14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3">IF(AND(C1019="Smelter not listed",OR(LEN(D1019)=0,LEN(E1019)=0)),1,0)</f>
        <v>0</v>
      </c>
      <c r="AB1019" s="228" t="str">
        <f t="shared" ref="AB1019" si="14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6">IF(AND(C1020="Smelter not listed",OR(LEN(D1020)=0,LEN(E1020)=0)),1,0)</f>
        <v>0</v>
      </c>
      <c r="AB1020" s="228" t="str">
        <f t="shared" ref="AB1020:AB1051" si="14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9">IF(AND(C1052="Smelter not listed",OR(LEN(D1052)=0,LEN(E1052)=0)),1,0)</f>
        <v>0</v>
      </c>
      <c r="AB1052" s="228" t="str">
        <f t="shared" ref="AB1052:AB1082" si="15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2">IF(AND(C1083="Smelter not listed",OR(LEN(D1083)=0,LEN(E1083)=0)),1,0)</f>
        <v>0</v>
      </c>
      <c r="AB1083" s="228" t="str">
        <f t="shared" ref="AB1083" si="15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5">IF(AND(C1084="Smelter not listed",OR(LEN(D1084)=0,LEN(E1084)=0)),1,0)</f>
        <v>0</v>
      </c>
      <c r="AB1084" s="228" t="str">
        <f t="shared" ref="AB1084:AB1115" si="15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8">IF(AND(C1116="Smelter not listed",OR(LEN(D1116)=0,LEN(E1116)=0)),1,0)</f>
        <v>0</v>
      </c>
      <c r="AB1116" s="228" t="str">
        <f t="shared" ref="AB1116:AB1146" si="15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1">IF(AND(C1147="Smelter not listed",OR(LEN(D1147)=0,LEN(E1147)=0)),1,0)</f>
        <v>0</v>
      </c>
      <c r="AB1147" s="228" t="str">
        <f t="shared" ref="AB1147" si="16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4">IF(AND(C1148="Smelter not listed",OR(LEN(D1148)=0,LEN(E1148)=0)),1,0)</f>
        <v>0</v>
      </c>
      <c r="AB1148" s="228" t="str">
        <f t="shared" ref="AB1148:AB1179" si="16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7">IF(AND(C1180="Smelter not listed",OR(LEN(D1180)=0,LEN(E1180)=0)),1,0)</f>
        <v>0</v>
      </c>
      <c r="AB1180" s="228" t="str">
        <f t="shared" ref="AB1180:AB1210" si="16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0">IF(AND(C1211="Smelter not listed",OR(LEN(D1211)=0,LEN(E1211)=0)),1,0)</f>
        <v>0</v>
      </c>
      <c r="AB1211" s="228" t="str">
        <f t="shared" ref="AB1211" si="17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3">IF(AND(C1212="Smelter not listed",OR(LEN(D1212)=0,LEN(E1212)=0)),1,0)</f>
        <v>0</v>
      </c>
      <c r="AB1212" s="228" t="str">
        <f t="shared" ref="AB1212:AB1243" si="17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6">IF(AND(C1244="Smelter not listed",OR(LEN(D1244)=0,LEN(E1244)=0)),1,0)</f>
        <v>0</v>
      </c>
      <c r="AB1244" s="228" t="str">
        <f t="shared" ref="AB1244:AB1274" si="17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9">IF(AND(C1275="Smelter not listed",OR(LEN(D1275)=0,LEN(E1275)=0)),1,0)</f>
        <v>0</v>
      </c>
      <c r="AB1275" s="228" t="str">
        <f t="shared" ref="AB1275" si="18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2">IF(AND(C1276="Smelter not listed",OR(LEN(D1276)=0,LEN(E1276)=0)),1,0)</f>
        <v>0</v>
      </c>
      <c r="AB1276" s="228" t="str">
        <f t="shared" ref="AB1276:AB1307" si="18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5">IF(AND(C1308="Smelter not listed",OR(LEN(D1308)=0,LEN(E1308)=0)),1,0)</f>
        <v>0</v>
      </c>
      <c r="AB1308" s="228" t="str">
        <f t="shared" ref="AB1308:AB1338" si="18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8">IF(AND(C1339="Smelter not listed",OR(LEN(D1339)=0,LEN(E1339)=0)),1,0)</f>
        <v>0</v>
      </c>
      <c r="AB1339" s="228" t="str">
        <f t="shared" ref="AB1339" si="18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1">IF(AND(C1340="Smelter not listed",OR(LEN(D1340)=0,LEN(E1340)=0)),1,0)</f>
        <v>0</v>
      </c>
      <c r="AB1340" s="228" t="str">
        <f t="shared" ref="AB1340:AB1371" si="19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4">IF(AND(C1372="Smelter not listed",OR(LEN(D1372)=0,LEN(E1372)=0)),1,0)</f>
        <v>0</v>
      </c>
      <c r="AB1372" s="228" t="str">
        <f t="shared" ref="AB1372:AB1402" si="19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7">IF(AND(C1403="Smelter not listed",OR(LEN(D1403)=0,LEN(E1403)=0)),1,0)</f>
        <v>0</v>
      </c>
      <c r="AB1403" s="228" t="str">
        <f t="shared" ref="AB1403" si="19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0">IF(AND(C1404="Smelter not listed",OR(LEN(D1404)=0,LEN(E1404)=0)),1,0)</f>
        <v>0</v>
      </c>
      <c r="AB1404" s="228" t="str">
        <f t="shared" ref="AB1404:AB1435" si="20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3">IF(AND(C1436="Smelter not listed",OR(LEN(D1436)=0,LEN(E1436)=0)),1,0)</f>
        <v>0</v>
      </c>
      <c r="AB1436" s="228" t="str">
        <f t="shared" ref="AB1436:AB1466" si="20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6">IF(AND(C1467="Smelter not listed",OR(LEN(D1467)=0,LEN(E1467)=0)),1,0)</f>
        <v>0</v>
      </c>
      <c r="AB1467" s="228" t="str">
        <f t="shared" ref="AB1467" si="20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9">IF(AND(C1468="Smelter not listed",OR(LEN(D1468)=0,LEN(E1468)=0)),1,0)</f>
        <v>0</v>
      </c>
      <c r="AB1468" s="228" t="str">
        <f t="shared" ref="AB1468:AB1499" si="21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2">IF(AND(C1500="Smelter not listed",OR(LEN(D1500)=0,LEN(E1500)=0)),1,0)</f>
        <v>0</v>
      </c>
      <c r="AB1500" s="228" t="str">
        <f t="shared" ref="AB1500:AB1530" si="21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5">IF(AND(C1531="Smelter not listed",OR(LEN(D1531)=0,LEN(E1531)=0)),1,0)</f>
        <v>0</v>
      </c>
      <c r="AB1531" s="228" t="str">
        <f t="shared" ref="AB1531" si="2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8">IF(AND(C1532="Smelter not listed",OR(LEN(D1532)=0,LEN(E1532)=0)),1,0)</f>
        <v>0</v>
      </c>
      <c r="AB1532" s="228" t="str">
        <f t="shared" ref="AB1532:AB1563" si="21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1">IF(AND(C1564="Smelter not listed",OR(LEN(D1564)=0,LEN(E1564)=0)),1,0)</f>
        <v>0</v>
      </c>
      <c r="AB1564" s="228" t="str">
        <f t="shared" ref="AB1564:AB1594" si="22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4">IF(AND(C1595="Smelter not listed",OR(LEN(D1595)=0,LEN(E1595)=0)),1,0)</f>
        <v>0</v>
      </c>
      <c r="AB1595" s="228" t="str">
        <f t="shared" ref="AB1595" si="22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7">IF(AND(C1596="Smelter not listed",OR(LEN(D1596)=0,LEN(E1596)=0)),1,0)</f>
        <v>0</v>
      </c>
      <c r="AB1596" s="228" t="str">
        <f t="shared" ref="AB1596:AB1627" si="22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0">IF(AND(C1628="Smelter not listed",OR(LEN(D1628)=0,LEN(E1628)=0)),1,0)</f>
        <v>0</v>
      </c>
      <c r="AB1628" s="228" t="str">
        <f t="shared" ref="AB1628:AB1658" si="23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3">IF(AND(C1659="Smelter not listed",OR(LEN(D1659)=0,LEN(E1659)=0)),1,0)</f>
        <v>0</v>
      </c>
      <c r="AB1659" s="228" t="str">
        <f t="shared" ref="AB1659" si="23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6">IF(AND(C1660="Smelter not listed",OR(LEN(D1660)=0,LEN(E1660)=0)),1,0)</f>
        <v>0</v>
      </c>
      <c r="AB1660" s="228" t="str">
        <f t="shared" ref="AB1660:AB1691" si="23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9">IF(AND(C1692="Smelter not listed",OR(LEN(D1692)=0,LEN(E1692)=0)),1,0)</f>
        <v>0</v>
      </c>
      <c r="AB1692" s="228" t="str">
        <f t="shared" ref="AB1692:AB1722" si="24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2">IF(AND(C1723="Smelter not listed",OR(LEN(D1723)=0,LEN(E1723)=0)),1,0)</f>
        <v>0</v>
      </c>
      <c r="AB1723" s="228" t="str">
        <f t="shared" ref="AB1723" si="24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5">IF(AND(C1724="Smelter not listed",OR(LEN(D1724)=0,LEN(E1724)=0)),1,0)</f>
        <v>0</v>
      </c>
      <c r="AB1724" s="228" t="str">
        <f t="shared" ref="AB1724:AB1755" si="24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8">IF(AND(C1756="Smelter not listed",OR(LEN(D1756)=0,LEN(E1756)=0)),1,0)</f>
        <v>0</v>
      </c>
      <c r="AB1756" s="228" t="str">
        <f t="shared" ref="AB1756:AB1786" si="24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1">IF(AND(C1787="Smelter not listed",OR(LEN(D1787)=0,LEN(E1787)=0)),1,0)</f>
        <v>0</v>
      </c>
      <c r="AB1787" s="228" t="str">
        <f t="shared" ref="AB1787" si="25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4">IF(AND(C1788="Smelter not listed",OR(LEN(D1788)=0,LEN(E1788)=0)),1,0)</f>
        <v>0</v>
      </c>
      <c r="AB1788" s="228" t="str">
        <f t="shared" ref="AB1788:AB1819" si="25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7">IF(AND(C1820="Smelter not listed",OR(LEN(D1820)=0,LEN(E1820)=0)),1,0)</f>
        <v>0</v>
      </c>
      <c r="AB1820" s="228" t="str">
        <f t="shared" ref="AB1820:AB1850" si="25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0">IF(AND(C1851="Smelter not listed",OR(LEN(D1851)=0,LEN(E1851)=0)),1,0)</f>
        <v>0</v>
      </c>
      <c r="AB1851" s="228" t="str">
        <f t="shared" ref="AB1851" si="26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3">IF(AND(C1852="Smelter not listed",OR(LEN(D1852)=0,LEN(E1852)=0)),1,0)</f>
        <v>0</v>
      </c>
      <c r="AB1852" s="228" t="str">
        <f t="shared" ref="AB1852:AB1883" si="26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6">IF(AND(C1884="Smelter not listed",OR(LEN(D1884)=0,LEN(E1884)=0)),1,0)</f>
        <v>0</v>
      </c>
      <c r="AB1884" s="228" t="str">
        <f t="shared" ref="AB1884:AB1914" si="26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9">IF(AND(C1915="Smelter not listed",OR(LEN(D1915)=0,LEN(E1915)=0)),1,0)</f>
        <v>0</v>
      </c>
      <c r="AB1915" s="228" t="str">
        <f t="shared" ref="AB1915" si="27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2">IF(AND(C1916="Smelter not listed",OR(LEN(D1916)=0,LEN(E1916)=0)),1,0)</f>
        <v>0</v>
      </c>
      <c r="AB1916" s="228" t="str">
        <f t="shared" ref="AB1916:AB1947" si="27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5">IF(AND(C1948="Smelter not listed",OR(LEN(D1948)=0,LEN(E1948)=0)),1,0)</f>
        <v>0</v>
      </c>
      <c r="AB1948" s="228" t="str">
        <f t="shared" ref="AB1948:AB1978" si="27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8">IF(AND(C1979="Smelter not listed",OR(LEN(D1979)=0,LEN(E1979)=0)),1,0)</f>
        <v>0</v>
      </c>
      <c r="AB1979" s="228" t="str">
        <f t="shared" ref="AB1979" si="27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1">IF(AND(C1980="Smelter not listed",OR(LEN(D1980)=0,LEN(E1980)=0)),1,0)</f>
        <v>0</v>
      </c>
      <c r="AB1980" s="228" t="str">
        <f t="shared" ref="AB1980:AB2011" si="28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4">IF(AND(C2012="Smelter not listed",OR(LEN(D2012)=0,LEN(E2012)=0)),1,0)</f>
        <v>0</v>
      </c>
      <c r="AB2012" s="228" t="str">
        <f t="shared" ref="AB2012:AB2042" si="28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7">IF(AND(C2043="Smelter not listed",OR(LEN(D2043)=0,LEN(E2043)=0)),1,0)</f>
        <v>0</v>
      </c>
      <c r="AB2043" s="228" t="str">
        <f t="shared" ref="AB2043" si="28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0">IF(AND(C2044="Smelter not listed",OR(LEN(D2044)=0,LEN(E2044)=0)),1,0)</f>
        <v>0</v>
      </c>
      <c r="AB2044" s="228" t="str">
        <f t="shared" ref="AB2044:AB2075" si="29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3">IF(AND(C2076="Smelter not listed",OR(LEN(D2076)=0,LEN(E2076)=0)),1,0)</f>
        <v>0</v>
      </c>
      <c r="AB2076" s="228" t="str">
        <f t="shared" ref="AB2076:AB2106" si="29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6">IF(AND(C2107="Smelter not listed",OR(LEN(D2107)=0,LEN(E2107)=0)),1,0)</f>
        <v>0</v>
      </c>
      <c r="AB2107" s="228" t="str">
        <f t="shared" ref="AB2107" si="29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9">IF(AND(C2108="Smelter not listed",OR(LEN(D2108)=0,LEN(E2108)=0)),1,0)</f>
        <v>0</v>
      </c>
      <c r="AB2108" s="228" t="str">
        <f t="shared" ref="AB2108:AB2139" si="3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2">IF(AND(C2140="Smelter not listed",OR(LEN(D2140)=0,LEN(E2140)=0)),1,0)</f>
        <v>0</v>
      </c>
      <c r="AB2140" s="228" t="str">
        <f t="shared" ref="AB2140:AB2170" si="3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5">IF(AND(C2171="Smelter not listed",OR(LEN(D2171)=0,LEN(E2171)=0)),1,0)</f>
        <v>0</v>
      </c>
      <c r="AB2171" s="228" t="str">
        <f t="shared" ref="AB2171" si="30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8">IF(AND(C2172="Smelter not listed",OR(LEN(D2172)=0,LEN(E2172)=0)),1,0)</f>
        <v>0</v>
      </c>
      <c r="AB2172" s="228" t="str">
        <f t="shared" ref="AB2172:AB2203" si="30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1">IF(AND(C2204="Smelter not listed",OR(LEN(D2204)=0,LEN(E2204)=0)),1,0)</f>
        <v>0</v>
      </c>
      <c r="AB2204" s="228" t="str">
        <f t="shared" ref="AB2204:AB2234" si="31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4">IF(AND(C2235="Smelter not listed",OR(LEN(D2235)=0,LEN(E2235)=0)),1,0)</f>
        <v>0</v>
      </c>
      <c r="AB2235" s="228" t="str">
        <f t="shared" ref="AB2235" si="31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7">IF(AND(C2236="Smelter not listed",OR(LEN(D2236)=0,LEN(E2236)=0)),1,0)</f>
        <v>0</v>
      </c>
      <c r="AB2236" s="228" t="str">
        <f t="shared" ref="AB2236:AB2267" si="31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0">IF(AND(C2268="Smelter not listed",OR(LEN(D2268)=0,LEN(E2268)=0)),1,0)</f>
        <v>0</v>
      </c>
      <c r="AB2268" s="228" t="str">
        <f t="shared" ref="AB2268:AB2298" si="32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3">IF(AND(C2299="Smelter not listed",OR(LEN(D2299)=0,LEN(E2299)=0)),1,0)</f>
        <v>0</v>
      </c>
      <c r="AB2299" s="228" t="str">
        <f t="shared" ref="AB2299" si="32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6">IF(AND(C2300="Smelter not listed",OR(LEN(D2300)=0,LEN(E2300)=0)),1,0)</f>
        <v>0</v>
      </c>
      <c r="AB2300" s="228" t="str">
        <f t="shared" ref="AB2300:AB2331" si="32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9">IF(AND(C2332="Smelter not listed",OR(LEN(D2332)=0,LEN(E2332)=0)),1,0)</f>
        <v>0</v>
      </c>
      <c r="AB2332" s="228" t="str">
        <f t="shared" ref="AB2332:AB2362" si="33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2">IF(AND(C2363="Smelter not listed",OR(LEN(D2363)=0,LEN(E2363)=0)),1,0)</f>
        <v>0</v>
      </c>
      <c r="AB2363" s="228" t="str">
        <f t="shared" ref="AB2363" si="33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5">IF(AND(C2364="Smelter not listed",OR(LEN(D2364)=0,LEN(E2364)=0)),1,0)</f>
        <v>0</v>
      </c>
      <c r="AB2364" s="228" t="str">
        <f t="shared" ref="AB2364:AB2395" si="33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8">IF(AND(C2396="Smelter not listed",OR(LEN(D2396)=0,LEN(E2396)=0)),1,0)</f>
        <v>0</v>
      </c>
      <c r="AB2396" s="228" t="str">
        <f t="shared" ref="AB2396:AB2426" si="33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1">IF(AND(C2427="Smelter not listed",OR(LEN(D2427)=0,LEN(E2427)=0)),1,0)</f>
        <v>0</v>
      </c>
      <c r="AB2427" s="228" t="str">
        <f t="shared" ref="AB2427" si="34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4">IF(AND(C2428="Smelter not listed",OR(LEN(D2428)=0,LEN(E2428)=0)),1,0)</f>
        <v>0</v>
      </c>
      <c r="AB2428" s="228" t="str">
        <f t="shared" ref="AB2428:AB2459" si="34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4"/>
        <v>0</v>
      </c>
      <c r="AB2459" s="228" t="str">
        <f t="shared" si="34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7">IF(AND(C2460="Smelter not listed",OR(LEN(D2460)=0,LEN(E2460)=0)),1,0)</f>
        <v>0</v>
      </c>
      <c r="AB2460" s="228" t="str">
        <f t="shared" ref="AB2460:AB2490" si="34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si="34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 t="shared" ref="AB2491" si="35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1A7A9C6-2960-4939-B539-38475C00540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WINSLOW ADAPTICS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 MANCEY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JOSH@WINSLOWADAPTICS.COM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 1874 62 55 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 MANCEY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JOSH@WINSLOWADAPTICS.COM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https://www.winslowadaptics.com/app/uploads/2019/12/Conflict-Minerals-Policy.pdf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Josh Mancey</cp:lastModifiedBy>
  <cp:lastPrinted>2015-04-21T20:47:43Z</cp:lastPrinted>
  <dcterms:created xsi:type="dcterms:W3CDTF">2010-06-21T21:00:23Z</dcterms:created>
  <dcterms:modified xsi:type="dcterms:W3CDTF">2025-09-15T14:05:25Z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